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Смета по ТСН-2001" sheetId="1" r:id="rId1"/>
    <sheet name="Source" sheetId="2" r:id="rId2"/>
    <sheet name="SourceObSm" sheetId="3" r:id="rId3"/>
    <sheet name="SmtRes" sheetId="4" r:id="rId4"/>
    <sheet name="EtalonRes" sheetId="5" r:id="rId5"/>
  </sheets>
  <definedNames>
    <definedName name="_xlnm.Print_Titles" localSheetId="0">'Смета по ТСН-2001'!$32:$32</definedName>
    <definedName name="_xlnm.Print_Area" localSheetId="0">'Смета по ТСН-2001'!$A$1:$K$765</definedName>
  </definedNames>
  <calcPr fullCalcOnLoad="1"/>
</workbook>
</file>

<file path=xl/sharedStrings.xml><?xml version="1.0" encoding="utf-8"?>
<sst xmlns="http://schemas.openxmlformats.org/spreadsheetml/2006/main" count="6640" uniqueCount="606">
  <si>
    <t>Smeta.RU  (495) 974-1589</t>
  </si>
  <si>
    <t>_PS_</t>
  </si>
  <si>
    <t>Smeta.RU</t>
  </si>
  <si>
    <t>ООО "ЦЕНТРЭЛЕКТРОСЕРВИС"  Доп. раб. место  FStS-0041803</t>
  </si>
  <si>
    <t>ПР-304-18-ЭС</t>
  </si>
  <si>
    <t>Строительство КЛ-20 кВ от ПС Никулино до РП-20 кВ ЦОД МО РФ_(4)</t>
  </si>
  <si>
    <t/>
  </si>
  <si>
    <t>г. Москва, проспект Вернадского, д. 100, земельный участок с кадастровым номером 77:07:0014010:24</t>
  </si>
  <si>
    <t>Никифоров А.А.</t>
  </si>
  <si>
    <t>Инженер-сметчик</t>
  </si>
  <si>
    <t>Сметные нормы списания</t>
  </si>
  <si>
    <t>Коды ОКП для ТСН-2001</t>
  </si>
  <si>
    <t>ТСН 2001- Новое строительство</t>
  </si>
  <si>
    <t>Типовой расчет для ТСН-2001 МЦЦС (Строительство), Доп 48, новая методика</t>
  </si>
  <si>
    <t>ТСН-2001</t>
  </si>
  <si>
    <t>Поправки для ТСН-2001 от 21.02.2018 г.</t>
  </si>
  <si>
    <t>Новая локальная смета</t>
  </si>
  <si>
    <t>Новый раздел</t>
  </si>
  <si>
    <t>ПКЛ-20 кВ от ПС "Никулино"</t>
  </si>
  <si>
    <t>Новый подраздел</t>
  </si>
  <si>
    <t>Строительные и земляные работы</t>
  </si>
  <si>
    <t>1</t>
  </si>
  <si>
    <t>3.1-51-1</t>
  </si>
  <si>
    <t>РАЗРАБОТКА ГРУНТА ВРУЧНУЮ В ТРАНШЕЯХ ГЛУБИНОЙ ДО 2 М БЕЗ КРЕПЛЕНИЙ С ОТКОСАМИ ГРУППА ГРУНТОВ 1-3</t>
  </si>
  <si>
    <t>100 м3</t>
  </si>
  <si>
    <t>ТСН-2001.3. База. Сб.1, т.51, поз.1</t>
  </si>
  <si>
    <t>Поправка: ТСН-2001.3. Пр.2. п.4  Наименование: Строительство инженерных сетей и сооружений, а также объектов жилищно-гражданского назначения в стесненных условиях застроенной части города</t>
  </si>
  <si>
    <t>)*1,15</t>
  </si>
  <si>
    <t>Строительные работы</t>
  </si>
  <si>
    <t>ТСН-2001.3-1. 1-49...1-55</t>
  </si>
  <si>
    <t>ТСН-2001.3-1-15</t>
  </si>
  <si>
    <t>Поправка: ТСН-2001.3. Пр.2. п.4</t>
  </si>
  <si>
    <t>2</t>
  </si>
  <si>
    <t>3.23-1-1</t>
  </si>
  <si>
    <t>УСТРОЙСТВО ОСНОВАНИЯ ПОД ТРУБОПРОВОДЫ ПЕСЧАНОГО</t>
  </si>
  <si>
    <t>10 м3</t>
  </si>
  <si>
    <t>ТСН-2001.3. База. Сб.23, т.1, поз.1</t>
  </si>
  <si>
    <t>ТСН-2001.3-23. 23-1...23-33</t>
  </si>
  <si>
    <t>ТСН-2001.3-23-1</t>
  </si>
  <si>
    <t>2,1</t>
  </si>
  <si>
    <t>1.1-1-766</t>
  </si>
  <si>
    <t>ПЕСОК ДЛЯ СТРОИТЕЛЬНЫХ РАБОТ, РЯДОВОЙ</t>
  </si>
  <si>
    <t>м3</t>
  </si>
  <si>
    <t>ТСН-2001.1. База. Р.1, о.1, поз.766</t>
  </si>
  <si>
    <t>3</t>
  </si>
  <si>
    <t>4.8-74-1</t>
  </si>
  <si>
    <t>УСТРОЙСТВО ПОСТЕЛИ: ПРИ ОДНОМ КАБЕЛЕ В ТРАНШЕЕ</t>
  </si>
  <si>
    <t>100 м</t>
  </si>
  <si>
    <t>ТСН-2001.4. База. Сб.8, т.74, поз.1</t>
  </si>
  <si>
    <t>Монтаж оборудования</t>
  </si>
  <si>
    <t>ТСН-2001.4-8. 8-73...8-80</t>
  </si>
  <si>
    <t>ТСН-2001.4-8-3</t>
  </si>
  <si>
    <t>Поправка: ТСН-2001.4. О.П. тб1. п.2</t>
  </si>
  <si>
    <t>3,1</t>
  </si>
  <si>
    <t>4</t>
  </si>
  <si>
    <t>3.34-18-1</t>
  </si>
  <si>
    <t>УСТРОЙСТВО ТРУБОПРОВОДОВ ИЗ ПОЛИЭТИЛЕНОВЫХ ТРУБ ДО 2-Х ОТВЕРСТИЙ</t>
  </si>
  <si>
    <t>км</t>
  </si>
  <si>
    <t>ТСН-2001.3. База. Сб.34, т.18, поз.1</t>
  </si>
  <si>
    <t>ТСН-2001.3-34. 34-17...34-28</t>
  </si>
  <si>
    <t>ТСН-2001.3-34-6</t>
  </si>
  <si>
    <t>4,1</t>
  </si>
  <si>
    <t>прайс</t>
  </si>
  <si>
    <t>Полиэтиленовая труба ПНД SDR21 - 225 ПЭ 100</t>
  </si>
  <si>
    <t>[850 000 / 1,18]</t>
  </si>
  <si>
    <t>5</t>
  </si>
  <si>
    <t>3.1-53-1</t>
  </si>
  <si>
    <t>ЗАСЫПКА ВРУЧНУЮ ТРАНШЕЙ, ПАЗУХ КОТЛОВАНОВ И ЯМ ГРУППА ГРУНТОВ 1-3 (песком)</t>
  </si>
  <si>
    <t>ТСН-2001.3. База. Сб.1, т.53, поз.1</t>
  </si>
  <si>
    <t>5,1</t>
  </si>
  <si>
    <t>6</t>
  </si>
  <si>
    <t>3.13-31-1</t>
  </si>
  <si>
    <t>ОГНЕЗАЩИТНОЕ ПОКРЫТИЕ ЭЛЕКТРИЧЕСКИХ КАБЕЛЕЙ, ПРОЛОЖЕННЫХ В КОЛЛЕКТОРАХ, МАСТИКОЙ "МПВО" ВРУЧНУЮ</t>
  </si>
  <si>
    <t>м2</t>
  </si>
  <si>
    <t>ТСН-2001.3. База. Сб.13, т.31, поз.1</t>
  </si>
  <si>
    <t>ТСН-2001.3-13. 13-17-6, 13-17-7, 13-18...13-38</t>
  </si>
  <si>
    <t>ТСН-2001.3-13-3</t>
  </si>
  <si>
    <t>6,1</t>
  </si>
  <si>
    <t>Силотерм ЭП-6</t>
  </si>
  <si>
    <t>упак.</t>
  </si>
  <si>
    <t>[19 800 / 1,18]</t>
  </si>
  <si>
    <t>7</t>
  </si>
  <si>
    <t>ЗАСЫПКА ВРУЧНУЮ ТРАНШЕЙ, ПАЗУХ КОТЛОВАНОВ И ЯМ ГРУППА ГРУНТОВ 1-3 (грунтом)</t>
  </si>
  <si>
    <t>8</t>
  </si>
  <si>
    <t>6.51-6-1</t>
  </si>
  <si>
    <t>ПОГРУЗКА ГРУНТА ВРУЧНУЮ В АВТОМОБИЛИ-САМОСВАЛЫ С ВЫГРУЗКОЙ</t>
  </si>
  <si>
    <t>ТСН-2001.6. База. Сб.51, т.6, поз.1</t>
  </si>
  <si>
    <t>Ремонтно-строительные работы</t>
  </si>
  <si>
    <t>ТСН-2001.6-51. 51-6</t>
  </si>
  <si>
    <t>ТСН-2001.6-51-4</t>
  </si>
  <si>
    <t>9</t>
  </si>
  <si>
    <t>15.1-32-1</t>
  </si>
  <si>
    <t>ПЕРЕВОЗКА ГРУНТА С I ПО V ГРУППЫ НА РАССТОЯНИЕ 32 КМ АВТОСАМОСВАЛАМИ ГРУЗОПОДЪЕМНОСТЬЮ ДО 10 Т</t>
  </si>
  <si>
    <t>ТСН-2001.15. Доп.41. Сб.1, т.32, поз.1</t>
  </si>
  <si>
    <t>Транспортные затраты</t>
  </si>
  <si>
    <t>ТСН-2001.15-1. Перевозка грунта</t>
  </si>
  <si>
    <t>ТСН-2001.15-1-3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</si>
  <si>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</si>
  <si>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</si>
  <si>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</si>
  <si>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</si>
  <si>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</si>
  <si>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</si>
  <si>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</si>
  <si>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</si>
  <si>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</si>
  <si>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</si>
  <si>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</si>
  <si>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</si>
  <si>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</si>
  <si>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</si>
  <si>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</si>
  <si>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</si>
  <si>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</si>
  <si>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</si>
  <si>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</si>
  <si>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</si>
  <si>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</si>
  <si>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</si>
  <si>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ЗПМ</t>
  </si>
  <si>
    <t>ЗП машинистов</t>
  </si>
  <si>
    <t>ОЗП</t>
  </si>
  <si>
    <t>Основная ЗП рабочих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</si>
  <si>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</si>
  <si>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</si>
  <si>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</si>
  <si>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</si>
  <si>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</si>
  <si>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</si>
  <si>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</si>
  <si>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</si>
  <si>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</si>
  <si>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</si>
  <si>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</si>
  <si>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</si>
  <si>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</si>
  <si>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</si>
  <si>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</si>
  <si>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</si>
  <si>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</si>
  <si>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</si>
  <si>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</si>
  <si>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</si>
  <si>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Электромонтажные работы</t>
  </si>
  <si>
    <t>10</t>
  </si>
  <si>
    <t>4.8-73-5</t>
  </si>
  <si>
    <t>КАБЕЛИ ДО 35 КВ В ГОТОВЫХ ТРАНШЕЯХ БЕЗ ПОКРЫТИЙ, КАБЕЛЬ МАССОЙ: ДО 9 КГ</t>
  </si>
  <si>
    <t>ТСН-2001.4. База. Сб.8, т.73, поз.5</t>
  </si>
  <si>
    <t>11</t>
  </si>
  <si>
    <t>4.8-80-5</t>
  </si>
  <si>
    <t>КАБЕЛИ ДО 35 КВ В ПРОЛОЖЕННЫХ ТРУБАХ, БЛОКАХ И КОРОБАХ, КАБЕЛЬ, МАССА 1 М: ДО 9 КГ</t>
  </si>
  <si>
    <t>ТСН-2001.4. База. Сб.8, т.80, поз.5</t>
  </si>
  <si>
    <t>12</t>
  </si>
  <si>
    <t>4.8-79-14</t>
  </si>
  <si>
    <t>КАБЕЛИ ДО 35 КВ, ПРОКЛАДЫВАЕМЫЕ ПО УСТАНОВЛЕННЫМ КОНСТРУКЦИЯМ И ЛОТКАМ, КАБЕЛЬ С КРЕПЛЕНИЕМ ПО ВСЕЙ ДЛИНЕ, МАССА 1 М: ДО 9 КГ</t>
  </si>
  <si>
    <t>ТСН-2001.4. База. Сб.8, т.79, поз.14</t>
  </si>
  <si>
    <t>13</t>
  </si>
  <si>
    <t>Кабель АПвПуг 1х500/70-20 (+2%)</t>
  </si>
  <si>
    <t>м</t>
  </si>
  <si>
    <t>Материалы</t>
  </si>
  <si>
    <t>Материалы, изделия и конструкции</t>
  </si>
  <si>
    <t>[1 216 / 1,18]</t>
  </si>
  <si>
    <t>14</t>
  </si>
  <si>
    <t>4.8-305-2</t>
  </si>
  <si>
    <t>МУФТЫ КОНЦЕВЫЕ ДЛЯ ОДНОЖИЛЬНОГО ЭКРАНИРОВАННОГО КАБЕЛЯ С ИЗОЛЯЦИЕЙ ИЗ СШИТОГО ПОЛИЭТИЛЕНА, НАПРЯЖЕНИЕМ ДО 35 КВ</t>
  </si>
  <si>
    <t>ШТ</t>
  </si>
  <si>
    <t>ТСН-2001.4. Доп.31. Сб.8, т.305, поз.2</t>
  </si>
  <si>
    <t>ТСН-2001.4-8. 8-301…8-309 (доп. 30)</t>
  </si>
  <si>
    <t>ТСН-2001.4-8-34</t>
  </si>
  <si>
    <t>14,1</t>
  </si>
  <si>
    <t>МУФТА КОНЦЕВАЯ "ПРОГРЕСС" ПКВТО 20-500/630 GPH МКС</t>
  </si>
  <si>
    <t>[22 385 / 1,18]</t>
  </si>
  <si>
    <t>15</t>
  </si>
  <si>
    <t>4.8-304-2</t>
  </si>
  <si>
    <t>МУФТЫ СОЕДИНИТЕЛЬНЫЕ ДЛЯ ОДНОЖИЛЬНОГО ЭКРАНИРОВАННОГО КАБЕЛЯ С ИЗОЛЯЦИЕЙ ИЗ СШИТОГО ПОЛИЭТИЛЕНА, НАПРЯЖЕНИЕМ ДО 35 КВ</t>
  </si>
  <si>
    <t>ТСН-2001.4. Доп.31. Сб.8, т.304, поз.2</t>
  </si>
  <si>
    <t>15,1</t>
  </si>
  <si>
    <t>МУФТА СОЕДИНИТЕЛЬНАЯ "ПРОГРЕСС" ПСТО 20-500/630 GPH МКС</t>
  </si>
  <si>
    <t>[12 500 / 1,18]</t>
  </si>
  <si>
    <t>16</t>
  </si>
  <si>
    <t>4.8-301-1</t>
  </si>
  <si>
    <t>УПЛОТНИТЕЛЬ КАБЕЛЬНОГО ПРОХОДА ТЕРМОУСАЖИВАЕМЫЙ</t>
  </si>
  <si>
    <t>100 компл.</t>
  </si>
  <si>
    <t>ТСН-2001.4. Доп.31. Сб.8, т.301, поз.1</t>
  </si>
  <si>
    <t>17</t>
  </si>
  <si>
    <t>УКПт 225/65</t>
  </si>
  <si>
    <t>ТСН-2001.4-8. 8-84...8-94</t>
  </si>
  <si>
    <t>ТСН-2001.4-8-5</t>
  </si>
  <si>
    <t>[790 / 1,18]</t>
  </si>
  <si>
    <t>18</t>
  </si>
  <si>
    <t>4.8-75-3</t>
  </si>
  <si>
    <t>ПОКРЫТИЕ КАБЕЛЕЙ, ПРОЛОЖЕННЫХ В ТРАНШЕЕ, ПЛИТАМИ: ОДНОГО КАБЕЛЯ</t>
  </si>
  <si>
    <t>ТСН-2001.4. Доп.20. Сб.8, т.75, поз.3</t>
  </si>
  <si>
    <t>=567.86379</t>
  </si>
  <si>
    <t>19</t>
  </si>
  <si>
    <t>Плитка ПЗК 36х48</t>
  </si>
  <si>
    <t>[68 / 1,18]</t>
  </si>
  <si>
    <t>Пусконаладочные работы</t>
  </si>
  <si>
    <t>20</t>
  </si>
  <si>
    <t>5.10-35-1</t>
  </si>
  <si>
    <t>КАБЕЛЬНЫЕ ЛИНИИ ВЫСОКОГО ИЛИ НИЗКОГО НАПРЯЖЕНИЯ</t>
  </si>
  <si>
    <t>линия кабеля</t>
  </si>
  <si>
    <t>ТСН-2001.5. База. Сб.10, т.35, поз.1</t>
  </si>
  <si>
    <t>Поправка: ТСН-2001.5. р2. тб1. п. 5  Наименование: В электроустановках, находящихся под напряжением: с оформлением наряда-допуска</t>
  </si>
  <si>
    <t>)*1,3</t>
  </si>
  <si>
    <t>ТСН-2001.5-10. 10-4...10-44</t>
  </si>
  <si>
    <t>ТСН-2001.5-10-1</t>
  </si>
  <si>
    <t>Поправка: ТСН-2001.5. р2. тб1. п. 5</t>
  </si>
  <si>
    <t>21</t>
  </si>
  <si>
    <t>2.1-8-3</t>
  </si>
  <si>
    <t>АВТОЛАБОРАТОРИИ</t>
  </si>
  <si>
    <t>маш.-ч</t>
  </si>
  <si>
    <t>ТСН-2001.2. База. п.1-8-3 (085001)</t>
  </si>
  <si>
    <t>Механизмы</t>
  </si>
  <si>
    <t>ТСН-2001. Машины и механизмы</t>
  </si>
  <si>
    <t>ТСН-2001.2</t>
  </si>
  <si>
    <t>22</t>
  </si>
  <si>
    <t>5.10-35-3</t>
  </si>
  <si>
    <t>ИСПЫТАНИЕ ОБРАЗЦОВ КАБЕЛЕЙ НАПРЯЖЕНИЕМ 6-10 КВ, ОТЕЧЕСТВЕННОГО И ИМПОРТНОГО ПРОИЗВОДСТВА</t>
  </si>
  <si>
    <t>испытание</t>
  </si>
  <si>
    <t>ТСН-2001.5. База. Сб.10, т.35, поз.3</t>
  </si>
  <si>
    <t>Восстановление благоустройства</t>
  </si>
  <si>
    <t>23</t>
  </si>
  <si>
    <t>6.57-2-9</t>
  </si>
  <si>
    <t>РАЗБОРКА АСФАЛЬТОБЕТОННЫХ ПОКРЫТИЙ толщ.40 мм тротуар</t>
  </si>
  <si>
    <t>100 м2</t>
  </si>
  <si>
    <t>ТСН-2001.6. База. Сб.57, т.2, поз.9</t>
  </si>
  <si>
    <t>ТСН-2001.6-57. 57-1...57-5</t>
  </si>
  <si>
    <t>ТСН-2001.6-57-1</t>
  </si>
  <si>
    <t>24</t>
  </si>
  <si>
    <t>РАЗБОРКА АСФАЛЬТОБЕТОННЫХ ПОКРЫТИЙ толщ.60 мм тротуар</t>
  </si>
  <si>
    <t>25</t>
  </si>
  <si>
    <t>РАЗБОРКА АСФАЛЬТОБЕТОННЫХ ПОКРЫТИЙ толщ.40 мм дорога</t>
  </si>
  <si>
    <t>26</t>
  </si>
  <si>
    <t>РАЗБОРКА АСФАЛЬТОБЕТОННЫХ ПОКРЫТИЙ толщ.130 мм дорога (3 слоя по 40 мм)</t>
  </si>
  <si>
    <t>27</t>
  </si>
  <si>
    <t>РАЗБОРКА АСФАЛЬТОБЕТОННЫХ ПОКРЫТИЙ толщ.170 мм дорога (4 слоя по 40 мм) прим. для цементобет.оснований</t>
  </si>
  <si>
    <t>28</t>
  </si>
  <si>
    <t>3.27-12-1</t>
  </si>
  <si>
    <t>УСТРОЙСТВО ПОДСТИЛАЮЩИХ И ВЫРАВНИВАЮЩИХ СЛОЕВ ОСНОВАНИЙ ИЗ ПЕСКА</t>
  </si>
  <si>
    <t>ТСН-2001.3. База. Сб.27, т.12, поз.1</t>
  </si>
  <si>
    <t>ТСН-2001.3-27. 27-1...27-21</t>
  </si>
  <si>
    <t>ТСН-2001.3-27-1</t>
  </si>
  <si>
    <t>28,1</t>
  </si>
  <si>
    <t>29</t>
  </si>
  <si>
    <t>3.27-12-2</t>
  </si>
  <si>
    <t>УСТРОЙСТВО ПОДСТИЛАЮЩИХ И ВЫРАВНИВАЮЩИХ СЛОЕВ ОСНОВАНИЙ ИЗ ЩЕБНЯ</t>
  </si>
  <si>
    <t>ТСН-2001.3. База. Сб.27, т.12, поз.2</t>
  </si>
  <si>
    <t>29,1</t>
  </si>
  <si>
    <t>1.1-1-1519</t>
  </si>
  <si>
    <t>ЩЕБЕНЬ ИЗ ЕСТЕСТВЕННОГО КАМНЯ ДЛЯ СТРОИТЕЛЬНЫХ РАБОТ, МАРКА 300-200, ФРАКЦИЯ 10-20 ММ</t>
  </si>
  <si>
    <t>ТСН-2001.1. База. Р.1, о.1, поз.1519</t>
  </si>
  <si>
    <t>30</t>
  </si>
  <si>
    <t>3.27-42-1</t>
  </si>
  <si>
    <t>УСТРОЙСТВО ПОКРЫТИЙ ИЗ ГОРЯЧИХ АСФАЛЬТОБЕТОННЫХ СМЕСЕЙ ТОЛЩИНОЙ 4 СМ КОМПЛЕКТОМ МАШИН</t>
  </si>
  <si>
    <t>ТСН-2001.3. База. Сб.27, т.42, поз.1</t>
  </si>
  <si>
    <t>ТСН-2001.3-27. 27-42...27-46</t>
  </si>
  <si>
    <t>ТСН-2001.3-27-13</t>
  </si>
  <si>
    <t>31</t>
  </si>
  <si>
    <t>3.27-43-1</t>
  </si>
  <si>
    <t>ДОБАВЛЯЕТСЯ НА КАЖДЫЙ 1 СМ ИЗМЕНЕНИЯ ТОЛЩИНЫ СЛОЯ СВЕРХ 4 СМ К ПОЗ. 27-42-1</t>
  </si>
  <si>
    <t>ТСН-2001.3. База. Сб.27, т.43, поз.1</t>
  </si>
  <si>
    <t>32</t>
  </si>
  <si>
    <t>1.3-3-3</t>
  </si>
  <si>
    <t>СМЕСИ АСФАЛЬТОБЕТОННЫЕ ДОРОЖНЫЕ ГОРЯЧИЕ КРУПНОЗЕРНИСТЫЕ, ТИП I</t>
  </si>
  <si>
    <t>т</t>
  </si>
  <si>
    <t>ТСН-2001.1. База. Р.3, о.3, поз.3</t>
  </si>
  <si>
    <t>Материалы строительные</t>
  </si>
  <si>
    <t>ТСН-2001.1 Материалы строительные</t>
  </si>
  <si>
    <t>ТСН-2001.1-1</t>
  </si>
  <si>
    <t>33</t>
  </si>
  <si>
    <t>34</t>
  </si>
  <si>
    <t>1.3-3-7</t>
  </si>
  <si>
    <t>СМЕСИ АСФАЛЬТОБЕТОННЫЕ ДОРОЖНЫЕ ГОРЯЧИЕ МЕЛКОЗЕРНИСТЫЕ, МАРКА I, ТИП А</t>
  </si>
  <si>
    <t>ТСН-2001.1. База. Р.3, о.3, поз.7</t>
  </si>
  <si>
    <t>Восстановление а/б и ц/б покрытия в дороге</t>
  </si>
  <si>
    <t>35</t>
  </si>
  <si>
    <t>35,1</t>
  </si>
  <si>
    <t>36</t>
  </si>
  <si>
    <t>3.27-30-1</t>
  </si>
  <si>
    <t>УСТРОЙСТВО ЦЕМЕНТОБЕТОННЫХ ОСНОВАНИЙ ГОРОДСКИХ ПРОЕЗДОВ ТОЛЩИНА СЛОЯ, СМ 16</t>
  </si>
  <si>
    <t>1000 м2</t>
  </si>
  <si>
    <t>ТСН-2001.3. Д.3. Сб.27, т.30, поз.1</t>
  </si>
  <si>
    <t>ТСН-2001.3-27. 27-29, 27-30</t>
  </si>
  <si>
    <t>ТСН-2001.3-27-7</t>
  </si>
  <si>
    <t>37</t>
  </si>
  <si>
    <t>УСТРОЙСТВО ПОКРЫТИЙ ИЗ ГОРЯЧИХ АСФАЛЬТОБЕТОННЫХ СМЕСЕЙ ТОЛЩИНОЙ 4 СМ КОМПЛЕКТОМ МАШИН (12 см)</t>
  </si>
  <si>
    <t>38</t>
  </si>
  <si>
    <t>39</t>
  </si>
  <si>
    <t>40</t>
  </si>
  <si>
    <t>41</t>
  </si>
  <si>
    <t>ГНБ</t>
  </si>
  <si>
    <t>42</t>
  </si>
  <si>
    <t>43</t>
  </si>
  <si>
    <t>3.4-21-1</t>
  </si>
  <si>
    <t>МОНТАЖ УСТАНОВКИ ГОРИЗОНТАЛЬНО НАПРАВЛЕННОГО БУРЕНИЯ С ТЯГОВЫМ УСИЛИЕМ ДО 200 КН</t>
  </si>
  <si>
    <t>шт.</t>
  </si>
  <si>
    <t>ТСН-2001.3. Доп.47. Сб.4, т.21, поз.1</t>
  </si>
  <si>
    <t>ТСН-2001.3-4. 4-21...4-23 (доп. 47)</t>
  </si>
  <si>
    <t>ТСН-2001.3-4-2</t>
  </si>
  <si>
    <t>44</t>
  </si>
  <si>
    <t>3.4-22-2</t>
  </si>
  <si>
    <t>УСТРОЙСТВО ЗАКРЫТОГО (ПОДЗЕМНОГО) ПЕРЕХОДА МЕТОДОМ ГОРИЗОНТАЛЬНО НАПРАВЛЕННОГО БУРЕНИЯ С ПОЭТАПНЫМ РАСШИРЕНИЕМ СКВАЖИНЫ ДЛЯ ПОЛИЭТИЛЕНОВЫХ ТРУБ В ГРУНТАХ I-III ГРУППЫ УСТАНОВКАМИ С ТЯГОВЫМ УСИЛИЕМ ДО 200 КН ДЛЯ ТРУБ DY=225 ММ ДЛИНОЙ ДО 300 М</t>
  </si>
  <si>
    <t>ТСН-2001.3. Доп.47. Сб.4, т.22, поз.2</t>
  </si>
  <si>
    <t>45</t>
  </si>
  <si>
    <t>1.1-1-3962</t>
  </si>
  <si>
    <t>ГЛИНА БЕНТОНИТОВАЯ ПОРОШКООБРАЗНАЯ ФОРМОВОЧНАЯ, МАРКА М4Т1К</t>
  </si>
  <si>
    <t>кг</t>
  </si>
  <si>
    <t>ТСН-2001.1. Доп.37. Р.1, о.1, поз.3962</t>
  </si>
  <si>
    <t>46</t>
  </si>
  <si>
    <t>1.1-1-1836</t>
  </si>
  <si>
    <t>ЭМУЛЬСИЯ ПОЛИМЕРНО-АНИОНОВАЯ ДЛЯ СГУЩЕНИЯ СМЕСИ, МАРКА 'EZ-MUD' (ФИРМА 'BAROID')</t>
  </si>
  <si>
    <t>ТСН-2001.1. База. Р.1, о.1, поз.1836</t>
  </si>
  <si>
    <t>47</t>
  </si>
  <si>
    <t>Труба полиэтиленовая ПЭ-100 SDR13,6 - 225</t>
  </si>
  <si>
    <t>ТСН-2001.3-22. 22-62 (доп. 12)</t>
  </si>
  <si>
    <t>ТСН-2001.3-22-3</t>
  </si>
  <si>
    <t>[1 760 / 1,18]</t>
  </si>
  <si>
    <t>48</t>
  </si>
  <si>
    <t>3.4-21-3</t>
  </si>
  <si>
    <t>ДЕМОНТАЖ УСТАНОВКИ ГОРИЗОНТАЛЬНО НАПРАВЛЕННОГО БУРЕНИЯ С ТЯГОВЫМ УСИЛИЕМ ДО 200 КН</t>
  </si>
  <si>
    <t>ТСН-2001.3. Доп.47. Сб.4, т.21, поз.3</t>
  </si>
  <si>
    <t>49</t>
  </si>
  <si>
    <t>50</t>
  </si>
  <si>
    <t>51</t>
  </si>
  <si>
    <t>52</t>
  </si>
  <si>
    <t>Заглушка 160</t>
  </si>
  <si>
    <t>[70 / 1,18]</t>
  </si>
  <si>
    <t>53</t>
  </si>
  <si>
    <t>3.22-56-2</t>
  </si>
  <si>
    <t>СВАРКА ПОЛИЭТИЛЕНОВЫХ ТРУБ ДИАМЕТРОМ 225ММ</t>
  </si>
  <si>
    <t>стык</t>
  </si>
  <si>
    <t>ТСН-2001.3. База. Сб.22, т.56, поз.2</t>
  </si>
  <si>
    <t>ТСН-2001.3-22. 22-7...22-61</t>
  </si>
  <si>
    <t>ТСН-2001.3-22-1</t>
  </si>
  <si>
    <t>54</t>
  </si>
  <si>
    <t>ЗАСЫПКА ВРУЧНУЮ ТРАНШЕЙ, ПАЗУХ КОТЛОВАНОВ И ЯМ ГРУППА ГРУНТОВ 1-3</t>
  </si>
  <si>
    <t>КЛ-20 кВ по кабельному коллектору  ПК16 - ПК172</t>
  </si>
  <si>
    <t>55</t>
  </si>
  <si>
    <t>4.8-83-4</t>
  </si>
  <si>
    <t>КОНСТРУКЦИИ МЕТАЛЛИЧЕСКИЕ КАБЕЛЬНЫЕ, СТОЙКА СБОРНЫХ КАБЕЛЬНЫХ КОНСТРУКЦИЙ (БЕЗ ПОЛОК), МАССА: ДО 1,6 КГ</t>
  </si>
  <si>
    <t>100 шт.</t>
  </si>
  <si>
    <t>ТСН-2001.4. База. Сб.8, т.83, поз.4</t>
  </si>
  <si>
    <t>)*1,2)*1,15</t>
  </si>
  <si>
    <t>ТСН-2001.4-8. 8-81...8-83</t>
  </si>
  <si>
    <t>ТСН-2001.4-8-4</t>
  </si>
  <si>
    <t>Поправка: 4, тб1, п.3  Поправка: 4, тб1, п.2</t>
  </si>
  <si>
    <t>55,1</t>
  </si>
  <si>
    <t>Профиль для крепления L=400мм</t>
  </si>
  <si>
    <t>Прочие работы</t>
  </si>
  <si>
    <t>МЦЦС</t>
  </si>
  <si>
    <t>[214 / 1,18]</t>
  </si>
  <si>
    <t>56</t>
  </si>
  <si>
    <t>4.8-83-9</t>
  </si>
  <si>
    <t>КОНСТРУКЦИИ МЕТАЛЛИЧЕСКИЕ КАБЕЛЬНЫЕ, ПОЛКА КАБЕЛЬНАЯ, УСТАНАВЛИВАЕМАЯ НА СТОЙКАХ, МАССА: ДО 0,9 КГ</t>
  </si>
  <si>
    <t>ТСН-2001.4. База. Сб.8, т.83, поз.9</t>
  </si>
  <si>
    <t>Поправка: ТСН-2001.4. О.П. тб1. п.3  Поправка: ТСН-2001.4. О.П. тб1. п.2</t>
  </si>
  <si>
    <t>56,1</t>
  </si>
  <si>
    <t>Кабельная полка L=530 мм</t>
  </si>
  <si>
    <t>[254 / 1,18]</t>
  </si>
  <si>
    <t>57</t>
  </si>
  <si>
    <t>)*1,15)*1,2</t>
  </si>
  <si>
    <t>Поправка: ТСН-2001.4. О.П. тб1. п.2  Поправка: ТСН-2001.4. О.П. тб1. п.3</t>
  </si>
  <si>
    <t>58</t>
  </si>
  <si>
    <t>Кабель АПвВнг(А)-LS-20кВ-1х500/70 (+2%)</t>
  </si>
  <si>
    <t>[1 359 / 1,18]</t>
  </si>
  <si>
    <t>59</t>
  </si>
  <si>
    <t>59,1</t>
  </si>
  <si>
    <t>Огракс</t>
  </si>
  <si>
    <t>[6 500 / 1,18]</t>
  </si>
  <si>
    <t>60</t>
  </si>
  <si>
    <t>60,1</t>
  </si>
  <si>
    <t>МУФТА СОЕДИНИТЕЛЬНАЯ POLJ 24/1X500</t>
  </si>
  <si>
    <t>[26 550 / 1,18]</t>
  </si>
  <si>
    <t>61</t>
  </si>
  <si>
    <t>4.8-85-1</t>
  </si>
  <si>
    <t>ПЛИТЫ АСБЕСТОЦЕМЕНТНЫЕ МЕЖДУ ПРОЛОЖЕННЫМИ КАБЕЛЯМИ НА КАБЕЛЬНЫХ КОНСТРУКЦИЯХ</t>
  </si>
  <si>
    <t>ТСН-2001.4. База. Сб.8, т.85, поз.1</t>
  </si>
  <si>
    <t>61,1</t>
  </si>
  <si>
    <t>Плита а/ц 500х1200х10</t>
  </si>
  <si>
    <t>[1 210 / 1,18]</t>
  </si>
  <si>
    <t>КЛ-20 кВ по кабельному коллектору  ПК0 - ПК73</t>
  </si>
  <si>
    <t>62</t>
  </si>
  <si>
    <t>62,1</t>
  </si>
  <si>
    <t>63</t>
  </si>
  <si>
    <t>63,1</t>
  </si>
  <si>
    <t>[154 / 1,18]</t>
  </si>
  <si>
    <t>64</t>
  </si>
  <si>
    <t>65</t>
  </si>
  <si>
    <t>66</t>
  </si>
  <si>
    <t>66,1</t>
  </si>
  <si>
    <t>67</t>
  </si>
  <si>
    <t>67,1</t>
  </si>
  <si>
    <t>Итого</t>
  </si>
  <si>
    <t>НДС 18%</t>
  </si>
  <si>
    <t>Всего с НДС</t>
  </si>
  <si>
    <t>Уровень цен</t>
  </si>
  <si>
    <t>Сборник индексов</t>
  </si>
  <si>
    <t>_OBSM_</t>
  </si>
  <si>
    <t>9999990008</t>
  </si>
  <si>
    <t>ТРУДОЗАТРАТЫ РАБОЧИХ (ЭСН)</t>
  </si>
  <si>
    <t>чел.-ч.</t>
  </si>
  <si>
    <t>2.1-4-12</t>
  </si>
  <si>
    <t>ТСН-2001.2. База. п.1-4-12 (040205)</t>
  </si>
  <si>
    <t>ПОГРУЗЧИКИ НА АВТОМОБИЛЬНОМ ХОДУ, ГРУЗОПОДЪЕМНОСТЬ ДО 5 Т</t>
  </si>
  <si>
    <t>0.0-0-0</t>
  </si>
  <si>
    <t>СТОИМОСТЬ ПРОЧИХ МАТЕРИАЛОВ (ЭСН)</t>
  </si>
  <si>
    <t>руб.</t>
  </si>
  <si>
    <t>2.1-10-4</t>
  </si>
  <si>
    <t>ТСН-2001.2. База. п.1-10-4 (101001)</t>
  </si>
  <si>
    <t>КОМПРЕССОРЫ С ДИЗЕЛЬНЫМ ДВИГАТЕЛЕМ ПРИЦЕПНЫЕ ДО 2,5 М3/МИН</t>
  </si>
  <si>
    <t>2.1-30-54</t>
  </si>
  <si>
    <t>ТСН-2001.2. База. п.1-30-54 (308901)</t>
  </si>
  <si>
    <t>МОЛОТКИ ОТБОЙНЫЕ</t>
  </si>
  <si>
    <t>МАССА МУСОРА</t>
  </si>
  <si>
    <t>2.1-2-1</t>
  </si>
  <si>
    <t>ТСН-2001.2. База. п.1-2-1 (020101)</t>
  </si>
  <si>
    <t>ТРАКТОРЫ НА ГУСЕНИЧНОМ ХОДУ, МОЩНОСТЬ ДО 60 (81) КВТ (Л.С.)</t>
  </si>
  <si>
    <t>2.1-5-15</t>
  </si>
  <si>
    <t>ТСН-2001.2. База. п.1-5-15 (050703)</t>
  </si>
  <si>
    <t>КАТКИ ПРИЦЕПНЫЕ ПНЕВМОКОЛЕСНЫЕ, МАССА ДО 50 Т</t>
  </si>
  <si>
    <t>2.1-5-18</t>
  </si>
  <si>
    <t>ТСН-2001.2. База. п.1-5-18 (050902)</t>
  </si>
  <si>
    <t>ПОЛИВОМОЕЧНЫЕ МАШИНЫ, ЕМКОСТЬ ЦИСТЕРНЫ БОЛЕЕ 5000 Л</t>
  </si>
  <si>
    <t>2.1-5-48</t>
  </si>
  <si>
    <t>ТСН-2001.2. База. п.1-5-48 (056003)</t>
  </si>
  <si>
    <t>АВТОГРЕЙДЕРЫ, МОЩНОСТЬ 99-147 КВТ (130-200 Л.С.)</t>
  </si>
  <si>
    <t>2.1-5-7</t>
  </si>
  <si>
    <t>ТСН-2001.2. База. п.1-5-7 (050301)</t>
  </si>
  <si>
    <t>КАТКИ ДОРОЖНЫЕ САМОХОДНЫЕ НА ПНЕВМОКОЛЕСНОМ ХОДУ, МАССА ДО 16 Т</t>
  </si>
  <si>
    <t>1.1-1-118</t>
  </si>
  <si>
    <t>ТСН-2001.1. База. Р.1, о.1, поз.118</t>
  </si>
  <si>
    <t>ВОДА</t>
  </si>
  <si>
    <t>2.1-1-43</t>
  </si>
  <si>
    <t>ТСН-2001.2. База. п.1-1-43 (012102)</t>
  </si>
  <si>
    <t>БУЛЬДОЗЕРЫ ГУСЕНИЧНЫЕ, МОЩНОСТЬ ДО 59 КВТ (80 Л.С.)</t>
  </si>
  <si>
    <t>2.1-5-2</t>
  </si>
  <si>
    <t>ТСН-2001.2. База. п.1-5-2 (050102)</t>
  </si>
  <si>
    <t>КАТКИ САМОХОДНЫЕ ВИБРАЦИОННЫЕ, МАССА ДО 8 Т</t>
  </si>
  <si>
    <t>2.1-5-3</t>
  </si>
  <si>
    <t>ТСН-2001.2. База. п.1-5-3 (050103)</t>
  </si>
  <si>
    <t>КАТКИ САМОХОДНЫЕ ВИБРАЦИОННЫЕ, МАССА БОЛЕЕ 8 Т</t>
  </si>
  <si>
    <t>2.1-10-5</t>
  </si>
  <si>
    <t>ТСН-2001.2. База. п.1-10-5 (101002)</t>
  </si>
  <si>
    <t>КОМПРЕССОРЫ С ДИЗЕЛЬНЫМ ДВИГАТЕЛЕМ ПРИЦЕПНЫЕ ДО 5 М3/МИН</t>
  </si>
  <si>
    <t>2.1-4-3</t>
  </si>
  <si>
    <t>ТСН-2001.2. База. п.1-4-3 (040103)</t>
  </si>
  <si>
    <t>ПОГРУЗЧИКИ УНИВЕРСАЛЬНЫЕ НА ПНЕВМОКОЛЕСНОМ ХОДУ, ГРУЗОПОДЪЕМНОСТЬ ДО 3 Т</t>
  </si>
  <si>
    <t>2.1-5-17</t>
  </si>
  <si>
    <t>ТСН-2001.2. База. п.1-5-17 (050901)</t>
  </si>
  <si>
    <t>ПОЛИВОМОЕЧНЫЕ МАШИНЫ, ЕМКОСТЬ ЦИСТЕРНЫ ДО 5000 Л</t>
  </si>
  <si>
    <t>2.1-5-19</t>
  </si>
  <si>
    <t>ТСН-2001.2. База. п.1-5-19 (051001)</t>
  </si>
  <si>
    <t>АСФАЛЬТОУКЛАДЧИКИ, ПРОИЗВОДИТЕЛЬНОСТЬ ДО 350 Т/Ч</t>
  </si>
  <si>
    <t>2.1-5-35</t>
  </si>
  <si>
    <t>ТСН-2001.2. База. п.1-5-35 (053601)</t>
  </si>
  <si>
    <t>АВТОГУДРОНАТОРЫ БИТУМНЫЕ, ЕМКОСТЬ ДО 3500 Л</t>
  </si>
  <si>
    <t>2.1-5-6</t>
  </si>
  <si>
    <t>ТСН-2001.2. База. п.1-5-6 (050203)</t>
  </si>
  <si>
    <t>КАТКИ ДОРОЖНЫЕ САМОХОДНЫЕ СТАТИЧЕСКИЕ, МАССА БОЛЕЕ 10 Т</t>
  </si>
  <si>
    <t>1.3-3-19</t>
  </si>
  <si>
    <t>ТСН-2001.1. База. Р.3, о.3, поз.19</t>
  </si>
  <si>
    <t>ЭМУЛЬСИИ ДОРОЖНЫЕ, БИТУМНЫЕ</t>
  </si>
  <si>
    <t>2.0-0-0</t>
  </si>
  <si>
    <t>СТОИМОСТЬ ПРОЧИХ МАШИН (ЭСН)</t>
  </si>
  <si>
    <t>2.1-5-64</t>
  </si>
  <si>
    <t>ТСН-2001.2. База. п.1-5-64 (059002)</t>
  </si>
  <si>
    <t>КОТЛЫ БИТУМОВАРОЧНЫЕ ПЕРЕДВИЖНЫЕ, ЕМКОСТЬ ДО 1000 Л</t>
  </si>
  <si>
    <t>1.1-1-45</t>
  </si>
  <si>
    <t>ТСН-2001.1. База. Р.1, о.1, поз.45</t>
  </si>
  <si>
    <t>БИТУМЫ НЕФТЯНЫЕ, ДОРОЖНЫЕ ВЯЗКИЕ, МАРКА БНД</t>
  </si>
  <si>
    <t>1.9-11-4</t>
  </si>
  <si>
    <t>ТСН-2001.1. База. Р.9, о.11, поз.4</t>
  </si>
  <si>
    <t>ЩИТЫ ДЕРЕВЯННЫЕ ДЛЯ ФУНДАМЕНТОВ, КОЛОНН, БАЛОК, ПЕРЕКРЫТИЙ, СТЕН, ПЕРЕГОРОДОК И ДРУГИХ КОНСТРУКЦИЙ ИЗ ДОСОК, ТОЛЩИНА 40ММ</t>
  </si>
  <si>
    <t>2.1-17-98</t>
  </si>
  <si>
    <t>ТСН-2001.2. Доп.47. п.1-17-98 (172704)</t>
  </si>
  <si>
    <t>УСТАНОВКИ ГОРИЗОНТАЛЬНО-НАПРАВЛЕННОГО БУРЕНИЯ, ТЯГОВОЕ УСИЛИЕ ДО 200 КН</t>
  </si>
  <si>
    <t>2.1-11-91</t>
  </si>
  <si>
    <t>ТСН-2001.2. Доп.48. п.1-11-91 (110701)</t>
  </si>
  <si>
    <t>МОТОПОМПЫ, ПРОИЗВОДИТЕЛЬНОСТЬ ДО 54 М3/ЧАС, НАПОР ДО 28 М</t>
  </si>
  <si>
    <t>2.1-17-49</t>
  </si>
  <si>
    <t>ТСН-2001.2. База. п.1-17-49 (176802)</t>
  </si>
  <si>
    <t>КАНАЛООЧИСТИТЕЛИ-ИЛОСОСЫ УНИВЕРСАЛЬНЫЕ, ЕМКОСТЬ ДО 10 М3</t>
  </si>
  <si>
    <t>2.1-18-23</t>
  </si>
  <si>
    <t>ТСН-2001.2. База. п.1-18-23 (183201)</t>
  </si>
  <si>
    <t>АВТОМОБИЛИ БОРТОВЫЕ С МАНИПУЛЯТОРОМ ГРУЗОПОДЪЕМНОСТЬЮ ДО 6 Т</t>
  </si>
  <si>
    <t>2.1-3-69</t>
  </si>
  <si>
    <t>ТСН-2001.2. Доп.46. п.1-3-69 (038003)</t>
  </si>
  <si>
    <t>КРАНЫ-ТРУБОУКЛАДЧИКИ ДЛЯ ТРУБ ДИАМЕТРОМ 250-500 ММ, ГРУЗОПОДЪЕМНОСТЬ ДО 12,5 Т</t>
  </si>
  <si>
    <t>2.1-6-79</t>
  </si>
  <si>
    <t>ТСН-2001.2. Доп.47. п.1-6-79 (061105)</t>
  </si>
  <si>
    <t>УСТАНОВКИ СМЕСИТЕЛЬНЫЕ СТАЦИОНАРНЫЕ ДЛЯ ПРИГОТОВЛЕНИЯ БЕНТОНИТОВОГО РАСТВОРА, ЕМКОСТЬ ДО 4000 Л</t>
  </si>
  <si>
    <t>1.1-1-1049</t>
  </si>
  <si>
    <t>ТСН-2001.1. База. Р.1, о.1, поз.1049</t>
  </si>
  <si>
    <t>СОДА КАЛЬЦИНИРОВАННАЯ ТЕХНИЧЕСКАЯ</t>
  </si>
  <si>
    <t>1.1-1-2948</t>
  </si>
  <si>
    <t>ТСН-2001.1. Доп.4. Р.1, о.1, поз.2948</t>
  </si>
  <si>
    <t>СМАЗКА ГРАФИТНАЯ, МАРКА Ж</t>
  </si>
  <si>
    <t>2.1-13-29</t>
  </si>
  <si>
    <t>ТСН-2001.2. Доп.48. п.1-13-29 (135502)</t>
  </si>
  <si>
    <t>АППАРАТЫ ДЛЯ СТЫКОВОЙ СВАРКИ  ИЗ ТЕРМОПЛАСТИКОВ ДИАМЕТРОМ 160-315 ММ</t>
  </si>
  <si>
    <t>5711400000</t>
  </si>
  <si>
    <t>ПЕСОК СТРОИТЕЛЬНЫЙ</t>
  </si>
  <si>
    <t>2248115000</t>
  </si>
  <si>
    <t>ТРУБОПРОВОДЫ ДЛЯ ВНУТРЕННЕЙ КАНАЛИЗАЦИИ ИЗ ПОЛИЭТИЛЕНОВЫХ ТРУБ</t>
  </si>
  <si>
    <t>2257420000</t>
  </si>
  <si>
    <t>СОСТАВ ОГНЕЗАЩИТНЫЙ, МАРКА "МПВО"</t>
  </si>
  <si>
    <t>ПЕСОК ПРИРОДНЫЙ ДЛЯ СТРОИТЕЛЬНЫХ РАБОТ</t>
  </si>
  <si>
    <t>5711100000</t>
  </si>
  <si>
    <t>ЩЕБЕНЬ ДЛЯ ДОРОЖНЫХ РАБОТ</t>
  </si>
  <si>
    <t>5718400000</t>
  </si>
  <si>
    <t>СМЕСИ АСФАЛЬТОБЕТОННЫЕ</t>
  </si>
  <si>
    <t>5745080000</t>
  </si>
  <si>
    <t>СМЕСИ БЕТОННЫЕ , БСГ, ТЯЖЕЛОГО БЕТОНА ДЛЯ ИНЖЕНЕРНЫХ КОММУНИКАЦИЙ И ДОРОГ</t>
  </si>
  <si>
    <t>2164500000</t>
  </si>
  <si>
    <t>БЕНТОНИТЫ</t>
  </si>
  <si>
    <t>2248110000</t>
  </si>
  <si>
    <t>ТРУБЫ ИЗ ПОЛИЭТИЛЕНА</t>
  </si>
  <si>
    <t>2452910000</t>
  </si>
  <si>
    <t>ПОЛИМЕРЫ ДЛЯ ФЛОТАЦИИ</t>
  </si>
  <si>
    <t>л</t>
  </si>
  <si>
    <t>Поправка: ТСН-2001.4. О.П. тб1. п.2  Наименование: На предприятиях (в цехах на производственных площадях), остановленных для производства строительно-монтажных работ, а также в зданиях и сооружениях всех назначений при наличии в зоне производства работ загромоаждающих помещение предметов (станков, установок, аппаратов, эксплуатационного и лабораторного оборудования, оргтехники, мебели и т.п.)</t>
  </si>
  <si>
    <t>Поправка: 4, тб1, п.3  Наименование: При выполнении работ в охранной зоне воздушных линий электропередачи, в местах прохода коммуникаций электроснабжения в действующих электроустановках, вблизи конструкций и предметов, находящихся под напряжением (в случаях, когда полное снятие напряжения по производственным условиям невозможно), если это связано с ограничением действий рабочих специальными требованиями техники безопасности  Поправка: 4, тб1, п.2  Наименование: На предприятиях (в цехах на производственных площадях), остановленных для производства строительно-монтажных работ, а также в зданиях и сооружениях всех назначений при наличии в зоне производства работ загромоаждающих помещение предметов (станков, установок, аппаратов, эксплуатационного и лабораторного оборудования, оргтехники, мебели и т.п.)</t>
  </si>
  <si>
    <t>Поправка: ТСН-2001.4. О.П. тб1. п.3  Наименование: При выполнении работ в охранной зоне воздушных линий электропередачи, в местах прохода коммуникаций электроснабжения в действующих электроустановках, вблизи конструкций и предметов, находящихся под напряжением (в случаях, когда полное снятие напряжения по производственным условиям невозможно), если это связано с ограничением действий рабочих специальными требованиями техники безопасности  Поправка: ТСН-2001.4. О.П. тб1. п.2  Наименование: На предприятиях (в цехах на производственных площадях), остановленных для производства строительно-монтажных работ, а также в зданиях и сооружениях всех назначений при наличии в зоне производства работ загромоаждающих помещение предметов (станков, установок, аппаратов, эксплуатационного и лабораторного оборудования, оргтехники, мебели и т.п.)</t>
  </si>
  <si>
    <t>Поправка: ТСН-2001.4. О.П. тб1. п.2  Наименование: На предприятиях (в цехах на производственных площадях), остановленных для производства строительно-монтажных работ, а также в зданиях и сооружениях всех назначений при наличии в зоне производства работ загромоаждающих помещение предметов (станков, установок, аппаратов, эксплуатационного и лабораторного оборудования, оргтехники, мебели и т.п.)  Поправка: ТСН-2001.4. О.П. тб1. п.3  Наименование: При выполнении работ в охранной зоне воздушных линий электропередачи, в местах прохода коммуникаций электроснабжения в действующих электроустановках, вблизи конструкций и предметов, находящихся под напряжением (в случаях, когда полное снятие напряжения по производственным условиям невозможно), если это связано с ограничением действий рабочих специальными требованиями техники безопасности</t>
  </si>
  <si>
    <t>"СОГЛАСОВАНО"</t>
  </si>
  <si>
    <t>"УТВЕРЖДАЮ"</t>
  </si>
  <si>
    <t>Форма № 4б</t>
  </si>
  <si>
    <t>"_____"________________ 2018 г.</t>
  </si>
  <si>
    <t>(наименование стройки и/или объекта)</t>
  </si>
  <si>
    <t>(наименование работ и затрат)</t>
  </si>
  <si>
    <t>В базисном уровне цен</t>
  </si>
  <si>
    <t>В текущем уровне цен</t>
  </si>
  <si>
    <t>Сметная стоимость</t>
  </si>
  <si>
    <t>тыс. руб.</t>
  </si>
  <si>
    <t>Работы по монтажу оборудования</t>
  </si>
  <si>
    <t>Оборудование</t>
  </si>
  <si>
    <t>Прочие работы и затраты</t>
  </si>
  <si>
    <t>Средства на оплату труда</t>
  </si>
  <si>
    <t>Затраты труда</t>
  </si>
  <si>
    <t>Составлен(а) по ТСН-2001 с учетом Дополнения №: 44</t>
  </si>
  <si>
    <t>№ п/п</t>
  </si>
  <si>
    <t>Шифр расценки и коды ресурсов</t>
  </si>
  <si>
    <t>Наименование работ и затрат</t>
  </si>
  <si>
    <t>Ед. изм.</t>
  </si>
  <si>
    <t>Кол-во единиц</t>
  </si>
  <si>
    <t>Цена на ед. изм., руб.</t>
  </si>
  <si>
    <t>Попра-вочные коэффи-
циенты</t>
  </si>
  <si>
    <t>Коэффи-циенты зимних удорожа-ний</t>
  </si>
  <si>
    <t>Всего затрат в базисном уровне цен, руб.</t>
  </si>
  <si>
    <t>Коэффици-енты (индексы) пересчета, нормы НР и СП</t>
  </si>
  <si>
    <t>ВСЕГО затрат в текущем уровне цен, руб.</t>
  </si>
  <si>
    <t>№ и период сборника коэффициентов (индексов) пересчета: ТСН-2001 апрель 2018 года</t>
  </si>
  <si>
    <r>
      <t>3.1-51-1</t>
    </r>
    <r>
      <rPr>
        <i/>
        <sz val="10"/>
        <rFont val="Arial"/>
        <family val="2"/>
      </rPr>
      <t xml:space="preserve">
Поправка: ТСН-2001.3. Пр.2. п.4</t>
    </r>
  </si>
  <si>
    <t>ЗП</t>
  </si>
  <si>
    <t>ЭМ</t>
  </si>
  <si>
    <t>в т.ч. ЗПМ</t>
  </si>
  <si>
    <t>МР</t>
  </si>
  <si>
    <t>НР от ЗП</t>
  </si>
  <si>
    <t>%</t>
  </si>
  <si>
    <t>СП от ЗП</t>
  </si>
  <si>
    <t>НР и СП от ЗПМ</t>
  </si>
  <si>
    <t>ЗТР</t>
  </si>
  <si>
    <t>чел-ч</t>
  </si>
  <si>
    <t>Всего по позиции:</t>
  </si>
  <si>
    <r>
      <t>3.23-1-1</t>
    </r>
    <r>
      <rPr>
        <i/>
        <sz val="10"/>
        <rFont val="Arial"/>
        <family val="2"/>
      </rPr>
      <t xml:space="preserve">
Поправка: ТСН-2001.3. Пр.2. п.4</t>
    </r>
  </si>
  <si>
    <r>
      <t>4.8-74-1</t>
    </r>
    <r>
      <rPr>
        <i/>
        <sz val="10"/>
        <rFont val="Arial"/>
        <family val="2"/>
      </rPr>
      <t xml:space="preserve">
Поправка: ТСН-2001.4. О.П. тб1. п.2</t>
    </r>
  </si>
  <si>
    <r>
      <t>3.34-18-1</t>
    </r>
    <r>
      <rPr>
        <i/>
        <sz val="10"/>
        <rFont val="Arial"/>
        <family val="2"/>
      </rPr>
      <t xml:space="preserve">
Поправка: ТСН-2001.3. Пр.2. п.4</t>
    </r>
  </si>
  <si>
    <r>
      <t>Полиэтиленовая труба ПНД SDR21 - 225 ПЭ 100</t>
    </r>
    <r>
      <rPr>
        <i/>
        <sz val="10"/>
        <rFont val="Arial"/>
        <family val="2"/>
      </rPr>
      <t xml:space="preserve">
Базисная стоимость: 720 338,98 = [850 000 / 1,18]</t>
    </r>
  </si>
  <si>
    <r>
      <t>3.1-53-1</t>
    </r>
    <r>
      <rPr>
        <i/>
        <sz val="10"/>
        <rFont val="Arial"/>
        <family val="2"/>
      </rPr>
      <t xml:space="preserve">
Поправка: ТСН-2001.3. Пр.2. п.4</t>
    </r>
  </si>
  <si>
    <r>
      <t>3.13-31-1</t>
    </r>
    <r>
      <rPr>
        <i/>
        <sz val="10"/>
        <rFont val="Arial"/>
        <family val="2"/>
      </rPr>
      <t xml:space="preserve">
Поправка: ТСН-2001.3. Пр.2. п.4</t>
    </r>
  </si>
  <si>
    <r>
      <t>Силотерм ЭП-6</t>
    </r>
    <r>
      <rPr>
        <i/>
        <sz val="10"/>
        <rFont val="Arial"/>
        <family val="2"/>
      </rPr>
      <t xml:space="preserve">
Базисная стоимость: 16 779,66 = [19 800 / 1,18]</t>
    </r>
  </si>
  <si>
    <r>
      <t>4.8-73-5</t>
    </r>
    <r>
      <rPr>
        <i/>
        <sz val="10"/>
        <rFont val="Arial"/>
        <family val="2"/>
      </rPr>
      <t xml:space="preserve">
Поправка: ТСН-2001.4. О.П. тб1. п.2</t>
    </r>
  </si>
  <si>
    <r>
      <t>4.8-80-5</t>
    </r>
    <r>
      <rPr>
        <i/>
        <sz val="10"/>
        <rFont val="Arial"/>
        <family val="2"/>
      </rPr>
      <t xml:space="preserve">
Поправка: ТСН-2001.4. О.П. тб1. п.2</t>
    </r>
  </si>
  <si>
    <r>
      <t>4.8-79-14</t>
    </r>
    <r>
      <rPr>
        <i/>
        <sz val="10"/>
        <rFont val="Arial"/>
        <family val="2"/>
      </rPr>
      <t xml:space="preserve">
Поправка: ТСН-2001.4. О.П. тб1. п.2</t>
    </r>
  </si>
  <si>
    <r>
      <t>Кабель АПвПуг 1х500/70-20 (+2%)</t>
    </r>
    <r>
      <rPr>
        <i/>
        <sz val="10"/>
        <rFont val="Arial"/>
        <family val="2"/>
      </rPr>
      <t xml:space="preserve">
Базисная стоимость: 1 030,51 = [1 216 / 1,18]</t>
    </r>
  </si>
  <si>
    <r>
      <t>4.8-305-2</t>
    </r>
    <r>
      <rPr>
        <i/>
        <sz val="10"/>
        <rFont val="Arial"/>
        <family val="2"/>
      </rPr>
      <t xml:space="preserve">
Поправка: ТСН-2001.4. О.П. тб1. п.2</t>
    </r>
  </si>
  <si>
    <r>
      <t>МУФТА КОНЦЕВАЯ "ПРОГРЕСС" ПКВТО 20-500/630 GPH МКС</t>
    </r>
    <r>
      <rPr>
        <i/>
        <sz val="10"/>
        <rFont val="Arial"/>
        <family val="2"/>
      </rPr>
      <t xml:space="preserve">
Базисная стоимость: 18 970,34 = [22 385 / 1,18]</t>
    </r>
  </si>
  <si>
    <r>
      <t>4.8-304-2</t>
    </r>
    <r>
      <rPr>
        <i/>
        <sz val="10"/>
        <rFont val="Arial"/>
        <family val="2"/>
      </rPr>
      <t xml:space="preserve">
Поправка: ТСН-2001.4. О.П. тб1. п.2</t>
    </r>
  </si>
  <si>
    <r>
      <t>МУФТА СОЕДИНИТЕЛЬНАЯ "ПРОГРЕСС" ПСТО 20-500/630 GPH МКС</t>
    </r>
    <r>
      <rPr>
        <i/>
        <sz val="10"/>
        <rFont val="Arial"/>
        <family val="2"/>
      </rPr>
      <t xml:space="preserve">
Базисная стоимость: 10 593,22 = [12 500 / 1,18]</t>
    </r>
  </si>
  <si>
    <r>
      <t>4.8-301-1</t>
    </r>
    <r>
      <rPr>
        <i/>
        <sz val="10"/>
        <rFont val="Arial"/>
        <family val="2"/>
      </rPr>
      <t xml:space="preserve">
Поправка: ТСН-2001.4. О.П. тб1. п.2</t>
    </r>
  </si>
  <si>
    <r>
      <t>УКПт 225/65</t>
    </r>
    <r>
      <rPr>
        <i/>
        <sz val="10"/>
        <rFont val="Arial"/>
        <family val="2"/>
      </rPr>
      <t xml:space="preserve">
Базисная стоимость: 669,49 = [790 / 1,18]</t>
    </r>
  </si>
  <si>
    <r>
      <t>4.8-75-3</t>
    </r>
    <r>
      <rPr>
        <i/>
        <sz val="10"/>
        <rFont val="Arial"/>
        <family val="2"/>
      </rPr>
      <t xml:space="preserve">
Поправка: ТСН-2001.4. О.П. тб1. п.2</t>
    </r>
  </si>
  <si>
    <r>
      <t>Плитка ПЗК 36х48</t>
    </r>
    <r>
      <rPr>
        <i/>
        <sz val="10"/>
        <rFont val="Arial"/>
        <family val="2"/>
      </rPr>
      <t xml:space="preserve">
Базисная стоимость: 57,63 = [68 / 1,18]</t>
    </r>
  </si>
  <si>
    <r>
      <t>5.10-35-1</t>
    </r>
    <r>
      <rPr>
        <i/>
        <sz val="10"/>
        <rFont val="Arial"/>
        <family val="2"/>
      </rPr>
      <t xml:space="preserve">
Поправка: ТСН-2001.5. р2. тб1. п. 5</t>
    </r>
  </si>
  <si>
    <r>
      <t>5.10-35-3</t>
    </r>
    <r>
      <rPr>
        <i/>
        <sz val="10"/>
        <rFont val="Arial"/>
        <family val="2"/>
      </rPr>
      <t xml:space="preserve">
Поправка: ТСН-2001.5. р2. тб1. п. 5</t>
    </r>
  </si>
  <si>
    <r>
      <t>3.4-21-1</t>
    </r>
    <r>
      <rPr>
        <i/>
        <sz val="10"/>
        <rFont val="Arial"/>
        <family val="2"/>
      </rPr>
      <t xml:space="preserve">
Поправка: ТСН-2001.3. Пр.2. п.4</t>
    </r>
  </si>
  <si>
    <r>
      <t>3.4-22-2</t>
    </r>
    <r>
      <rPr>
        <i/>
        <sz val="10"/>
        <rFont val="Arial"/>
        <family val="2"/>
      </rPr>
      <t xml:space="preserve">
Поправка: ТСН-2001.3. Пр.2. п.4</t>
    </r>
  </si>
  <si>
    <r>
      <t>Труба полиэтиленовая ПЭ-100 SDR13,6 - 225</t>
    </r>
    <r>
      <rPr>
        <i/>
        <sz val="10"/>
        <rFont val="Arial"/>
        <family val="2"/>
      </rPr>
      <t xml:space="preserve">
Базисная стоимость: 1 491,53 = [1 760 / 1,18]</t>
    </r>
  </si>
  <si>
    <r>
      <t>3.4-21-3</t>
    </r>
    <r>
      <rPr>
        <i/>
        <sz val="10"/>
        <rFont val="Arial"/>
        <family val="2"/>
      </rPr>
      <t xml:space="preserve">
Поправка: ТСН-2001.3. Пр.2. п.4</t>
    </r>
  </si>
  <si>
    <r>
      <t>Заглушка 160</t>
    </r>
    <r>
      <rPr>
        <i/>
        <sz val="10"/>
        <rFont val="Arial"/>
        <family val="2"/>
      </rPr>
      <t xml:space="preserve">
Базисная стоимость: 59,32 = [70 / 1,18]</t>
    </r>
  </si>
  <si>
    <r>
      <t>3.22-56-2</t>
    </r>
    <r>
      <rPr>
        <i/>
        <sz val="10"/>
        <rFont val="Arial"/>
        <family val="2"/>
      </rPr>
      <t xml:space="preserve">
Поправка: ТСН-2001.3. Пр.2. п.4</t>
    </r>
  </si>
  <si>
    <r>
      <t>4.8-83-4</t>
    </r>
    <r>
      <rPr>
        <i/>
        <sz val="10"/>
        <rFont val="Arial"/>
        <family val="2"/>
      </rPr>
      <t xml:space="preserve">
Поправка: 4, тб1, п.3  Поправка: 4, тб1, п.2</t>
    </r>
  </si>
  <si>
    <r>
      <t>Профиль для крепления L=400мм</t>
    </r>
    <r>
      <rPr>
        <i/>
        <sz val="10"/>
        <rFont val="Arial"/>
        <family val="2"/>
      </rPr>
      <t xml:space="preserve">
Базисная стоимость: 181,36 = [214 / 1,18]</t>
    </r>
  </si>
  <si>
    <r>
      <t>4.8-83-9</t>
    </r>
    <r>
      <rPr>
        <i/>
        <sz val="10"/>
        <rFont val="Arial"/>
        <family val="2"/>
      </rPr>
      <t xml:space="preserve">
Поправка: ТСН-2001.4. О.П. тб1. п.3  Поправка: ТСН-2001.4. О.П. тб1. п.2</t>
    </r>
  </si>
  <si>
    <r>
      <t>Кабельная полка L=530 мм</t>
    </r>
    <r>
      <rPr>
        <i/>
        <sz val="10"/>
        <rFont val="Arial"/>
        <family val="2"/>
      </rPr>
      <t xml:space="preserve">
Базисная стоимость: 215,25 = [254 / 1,18]</t>
    </r>
  </si>
  <si>
    <r>
      <t>4.8-79-14</t>
    </r>
    <r>
      <rPr>
        <i/>
        <sz val="10"/>
        <rFont val="Arial"/>
        <family val="2"/>
      </rPr>
      <t xml:space="preserve">
Поправка: ТСН-2001.4. О.П. тб1. п.2  Поправка: ТСН-2001.4. О.П. тб1. п.3</t>
    </r>
  </si>
  <si>
    <r>
      <t>Кабель АПвВнг(А)-LS-20кВ-1х500/70 (+2%)</t>
    </r>
    <r>
      <rPr>
        <i/>
        <sz val="10"/>
        <rFont val="Arial"/>
        <family val="2"/>
      </rPr>
      <t xml:space="preserve">
Базисная стоимость: 1 151,69 = [1 359 / 1,18]</t>
    </r>
  </si>
  <si>
    <r>
      <t>Огракс</t>
    </r>
    <r>
      <rPr>
        <i/>
        <sz val="10"/>
        <rFont val="Arial"/>
        <family val="2"/>
      </rPr>
      <t xml:space="preserve">
Базисная стоимость: 5 508,47 = [6 500 / 1,18]</t>
    </r>
  </si>
  <si>
    <r>
      <t>МУФТА СОЕДИНИТЕЛЬНАЯ POLJ 24/1X500</t>
    </r>
    <r>
      <rPr>
        <i/>
        <sz val="10"/>
        <rFont val="Arial"/>
        <family val="2"/>
      </rPr>
      <t xml:space="preserve">
Базисная стоимость: 22 500,00 = [26 550 / 1,18]</t>
    </r>
  </si>
  <si>
    <r>
      <t>4.8-85-1</t>
    </r>
    <r>
      <rPr>
        <i/>
        <sz val="10"/>
        <rFont val="Arial"/>
        <family val="2"/>
      </rPr>
      <t xml:space="preserve">
Поправка: ТСН-2001.4. О.П. тб1. п.3  Поправка: ТСН-2001.4. О.П. тб1. п.2</t>
    </r>
  </si>
  <si>
    <r>
      <t>Плита а/ц 500х1200х10</t>
    </r>
    <r>
      <rPr>
        <i/>
        <sz val="10"/>
        <rFont val="Arial"/>
        <family val="2"/>
      </rPr>
      <t xml:space="preserve">
Базисная стоимость: 1 025,42 = [1 210 / 1,18]</t>
    </r>
  </si>
  <si>
    <r>
      <t>Кабельная полка L=530 мм</t>
    </r>
    <r>
      <rPr>
        <i/>
        <sz val="10"/>
        <rFont val="Arial"/>
        <family val="2"/>
      </rPr>
      <t xml:space="preserve">
Базисная стоимость: 130,51 = [154 / 1,18]</t>
    </r>
  </si>
  <si>
    <t xml:space="preserve">Составил   </t>
  </si>
  <si>
    <t>(должность, подпись, инициалы, фамилия)</t>
  </si>
  <si>
    <t xml:space="preserve">Проверил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</si>
</sst>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* _-#,##0\ &quot;?&quot;;* \-#,##0\ &quot;?&quot;;* _-&quot;-&quot;\ &quot;?&quot;;@"/>
    <numFmt numFmtId="169" formatCode="* #,##0;* \-#,##0;* &quot;-&quot;;@"/>
    <numFmt numFmtId="170" formatCode="* _-#,##0.00\ &quot;?&quot;;* \-#,##0.00\ &quot;?&quot;;* _-&quot;-&quot;??\ &quot;?&quot;;@"/>
    <numFmt numFmtId="171" formatCode="* #,##0.00;* \-#,##0.00;* &quot;-&quot;??;@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.00;[Red]\-\ #,##0.00"/>
    <numFmt numFmtId="177" formatCode="#,##0.00####;[Red]\-\ #,##0.00####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2"/>
      <name val="Arial"/>
      <family val="0"/>
    </font>
    <font>
      <b/>
      <sz val="10"/>
      <color indexed="16"/>
      <name val="Arial"/>
      <family val="0"/>
    </font>
    <font>
      <b/>
      <sz val="10"/>
      <color indexed="20"/>
      <name val="Arial"/>
      <family val="0"/>
    </font>
    <font>
      <b/>
      <sz val="10"/>
      <color indexed="17"/>
      <name val="Arial"/>
      <family val="0"/>
    </font>
    <font>
      <sz val="10"/>
      <color indexed="17"/>
      <name val="Arial"/>
      <family val="0"/>
    </font>
    <font>
      <sz val="10"/>
      <color indexed="12"/>
      <name val="Arial"/>
      <family val="0"/>
    </font>
    <font>
      <sz val="10"/>
      <color indexed="14"/>
      <name val="Arial"/>
      <family val="0"/>
    </font>
    <font>
      <b/>
      <sz val="10"/>
      <color indexed="14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 horizontal="right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30" fillId="0" borderId="0" xfId="0" applyFont="1" applyAlignment="1">
      <alignment/>
    </xf>
    <xf numFmtId="0" fontId="30" fillId="0" borderId="0" xfId="0" applyFont="1" applyBorder="1" applyAlignment="1">
      <alignment horizontal="left"/>
    </xf>
    <xf numFmtId="0" fontId="30" fillId="0" borderId="0" xfId="0" applyFont="1" applyAlignment="1">
      <alignment horizontal="left"/>
    </xf>
    <xf numFmtId="0" fontId="30" fillId="0" borderId="0" xfId="0" applyFont="1" applyBorder="1" applyAlignment="1">
      <alignment wrapText="1"/>
    </xf>
    <xf numFmtId="0" fontId="30" fillId="0" borderId="0" xfId="0" applyFont="1" applyBorder="1" applyAlignment="1">
      <alignment horizontal="left" wrapText="1"/>
    </xf>
    <xf numFmtId="0" fontId="32" fillId="0" borderId="10" xfId="0" applyFont="1" applyBorder="1" applyAlignment="1">
      <alignment horizontal="center" wrapText="1"/>
    </xf>
    <xf numFmtId="0" fontId="29" fillId="0" borderId="11" xfId="0" applyFont="1" applyBorder="1" applyAlignment="1">
      <alignment horizontal="center"/>
    </xf>
    <xf numFmtId="0" fontId="33" fillId="0" borderId="10" xfId="0" applyFont="1" applyBorder="1" applyAlignment="1">
      <alignment horizontal="center" wrapText="1"/>
    </xf>
    <xf numFmtId="0" fontId="34" fillId="0" borderId="10" xfId="0" applyFont="1" applyBorder="1" applyAlignment="1">
      <alignment horizontal="center" wrapText="1"/>
    </xf>
    <xf numFmtId="0" fontId="29" fillId="0" borderId="0" xfId="0" applyFont="1" applyAlignment="1">
      <alignment horizontal="center" wrapText="1"/>
    </xf>
    <xf numFmtId="0" fontId="0" fillId="0" borderId="0" xfId="0" applyAlignment="1">
      <alignment/>
    </xf>
    <xf numFmtId="0" fontId="30" fillId="0" borderId="10" xfId="0" applyFont="1" applyBorder="1" applyAlignment="1">
      <alignment horizontal="left" wrapText="1"/>
    </xf>
    <xf numFmtId="0" fontId="30" fillId="0" borderId="0" xfId="0" applyFont="1" applyBorder="1" applyAlignment="1">
      <alignment horizontal="left" wrapText="1"/>
    </xf>
    <xf numFmtId="0" fontId="30" fillId="0" borderId="0" xfId="0" applyFont="1" applyAlignment="1">
      <alignment horizontal="center" wrapText="1"/>
    </xf>
    <xf numFmtId="0" fontId="35" fillId="0" borderId="0" xfId="0" applyFont="1" applyAlignment="1">
      <alignment horizontal="left"/>
    </xf>
    <xf numFmtId="176" fontId="35" fillId="0" borderId="0" xfId="0" applyNumberFormat="1" applyFont="1" applyAlignment="1">
      <alignment/>
    </xf>
    <xf numFmtId="0" fontId="35" fillId="0" borderId="0" xfId="0" applyFont="1" applyAlignment="1">
      <alignment/>
    </xf>
    <xf numFmtId="176" fontId="30" fillId="0" borderId="0" xfId="0" applyNumberFormat="1" applyFont="1" applyAlignment="1">
      <alignment/>
    </xf>
    <xf numFmtId="0" fontId="30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wrapText="1"/>
    </xf>
    <xf numFmtId="0" fontId="34" fillId="0" borderId="10" xfId="0" applyFont="1" applyBorder="1" applyAlignment="1">
      <alignment horizontal="center" wrapText="1"/>
    </xf>
    <xf numFmtId="0" fontId="30" fillId="0" borderId="10" xfId="0" applyFont="1" applyBorder="1" applyAlignment="1">
      <alignment horizontal="left" wrapText="1"/>
    </xf>
    <xf numFmtId="0" fontId="31" fillId="0" borderId="0" xfId="0" applyFont="1" applyAlignment="1">
      <alignment horizontal="center" wrapText="1"/>
    </xf>
    <xf numFmtId="0" fontId="31" fillId="0" borderId="0" xfId="0" applyFont="1" applyAlignment="1">
      <alignment horizontal="center" wrapText="1"/>
    </xf>
    <xf numFmtId="0" fontId="30" fillId="0" borderId="0" xfId="0" applyFont="1" applyAlignment="1">
      <alignment horizontal="left" vertical="top"/>
    </xf>
    <xf numFmtId="0" fontId="30" fillId="0" borderId="0" xfId="0" applyFont="1" applyAlignment="1">
      <alignment horizontal="left" vertical="top" wrapText="1"/>
    </xf>
    <xf numFmtId="0" fontId="36" fillId="0" borderId="0" xfId="0" applyFont="1" applyAlignment="1">
      <alignment horizontal="right" wrapText="1"/>
    </xf>
    <xf numFmtId="0" fontId="30" fillId="0" borderId="0" xfId="0" applyFont="1" applyAlignment="1">
      <alignment horizontal="right" wrapText="1"/>
    </xf>
    <xf numFmtId="177" fontId="30" fillId="0" borderId="0" xfId="0" applyNumberFormat="1" applyFont="1" applyAlignment="1">
      <alignment horizontal="right"/>
    </xf>
    <xf numFmtId="176" fontId="30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176" fontId="36" fillId="0" borderId="0" xfId="0" applyNumberFormat="1" applyFont="1" applyAlignment="1">
      <alignment horizontal="right"/>
    </xf>
    <xf numFmtId="176" fontId="0" fillId="0" borderId="0" xfId="0" applyNumberFormat="1" applyAlignment="1">
      <alignment/>
    </xf>
    <xf numFmtId="176" fontId="30" fillId="0" borderId="0" xfId="0" applyNumberFormat="1" applyFont="1" applyAlignment="1">
      <alignment horizontal="right"/>
    </xf>
    <xf numFmtId="176" fontId="35" fillId="0" borderId="0" xfId="0" applyNumberFormat="1" applyFont="1" applyAlignment="1">
      <alignment horizontal="right"/>
    </xf>
    <xf numFmtId="0" fontId="0" fillId="0" borderId="14" xfId="0" applyBorder="1" applyAlignment="1">
      <alignment/>
    </xf>
    <xf numFmtId="0" fontId="35" fillId="0" borderId="14" xfId="0" applyFont="1" applyBorder="1" applyAlignment="1">
      <alignment/>
    </xf>
    <xf numFmtId="176" fontId="35" fillId="0" borderId="14" xfId="0" applyNumberFormat="1" applyFont="1" applyBorder="1" applyAlignment="1">
      <alignment horizontal="right"/>
    </xf>
    <xf numFmtId="0" fontId="30" fillId="0" borderId="0" xfId="0" applyFont="1" applyAlignment="1" quotePrefix="1">
      <alignment horizontal="right" wrapText="1"/>
    </xf>
    <xf numFmtId="0" fontId="35" fillId="0" borderId="0" xfId="0" applyFont="1" applyAlignment="1">
      <alignment horizontal="right"/>
    </xf>
    <xf numFmtId="0" fontId="35" fillId="0" borderId="0" xfId="0" applyFont="1" applyAlignment="1">
      <alignment horizontal="left" wrapText="1"/>
    </xf>
    <xf numFmtId="0" fontId="35" fillId="0" borderId="0" xfId="0" applyFont="1" applyAlignment="1">
      <alignment horizontal="left" wrapText="1"/>
    </xf>
    <xf numFmtId="0" fontId="30" fillId="0" borderId="0" xfId="0" applyFont="1" applyAlignment="1">
      <alignment horizontal="left" wrapText="1"/>
    </xf>
    <xf numFmtId="0" fontId="30" fillId="0" borderId="0" xfId="0" applyFont="1" applyAlignment="1" quotePrefix="1">
      <alignment horizontal="left" wrapText="1"/>
    </xf>
    <xf numFmtId="0" fontId="30" fillId="0" borderId="0" xfId="0" applyFont="1" applyAlignment="1">
      <alignment horizontal="right" vertical="center"/>
    </xf>
    <xf numFmtId="0" fontId="30" fillId="0" borderId="1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6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1.7109375" style="0" customWidth="1"/>
    <col min="3" max="3" width="40.7109375" style="0" customWidth="1"/>
    <col min="4" max="6" width="11.7109375" style="0" customWidth="1"/>
    <col min="7" max="7" width="12.7109375" style="0" customWidth="1"/>
    <col min="8" max="8" width="10.7109375" style="0" customWidth="1"/>
    <col min="9" max="11" width="12.7109375" style="0" customWidth="1"/>
    <col min="15" max="30" width="0" style="0" hidden="1" customWidth="1"/>
    <col min="31" max="31" width="150.7109375" style="0" hidden="1" customWidth="1"/>
    <col min="32" max="32" width="104.7109375" style="0" hidden="1" customWidth="1"/>
    <col min="33" max="33" width="0" style="0" hidden="1" customWidth="1"/>
    <col min="34" max="34" width="110.7109375" style="0" hidden="1" customWidth="1"/>
    <col min="35" max="36" width="0" style="0" hidden="1" customWidth="1"/>
  </cols>
  <sheetData>
    <row r="1" ht="12.75">
      <c r="A1" s="9" t="str">
        <f>Source!B1</f>
        <v>Smeta.RU  (495) 974-1589</v>
      </c>
    </row>
    <row r="2" spans="1:11" ht="14.25">
      <c r="A2" s="10"/>
      <c r="B2" s="10"/>
      <c r="C2" s="10"/>
      <c r="D2" s="10"/>
      <c r="E2" s="10"/>
      <c r="F2" s="10"/>
      <c r="G2" s="10"/>
      <c r="H2" s="10"/>
      <c r="I2" s="10"/>
      <c r="J2" s="10"/>
      <c r="K2" s="11" t="s">
        <v>527</v>
      </c>
    </row>
    <row r="3" spans="1:11" ht="16.5">
      <c r="A3" s="12"/>
      <c r="B3" s="13" t="s">
        <v>525</v>
      </c>
      <c r="C3" s="13"/>
      <c r="D3" s="13"/>
      <c r="E3" s="13"/>
      <c r="F3" s="11"/>
      <c r="G3" s="13" t="s">
        <v>526</v>
      </c>
      <c r="H3" s="13"/>
      <c r="I3" s="13"/>
      <c r="J3" s="13"/>
      <c r="K3" s="13"/>
    </row>
    <row r="4" spans="1:11" ht="14.25">
      <c r="A4" s="11"/>
      <c r="B4" s="14"/>
      <c r="C4" s="14"/>
      <c r="D4" s="14"/>
      <c r="E4" s="14"/>
      <c r="F4" s="11"/>
      <c r="G4" s="14"/>
      <c r="H4" s="14"/>
      <c r="I4" s="14"/>
      <c r="J4" s="14"/>
      <c r="K4" s="14"/>
    </row>
    <row r="5" spans="1:11" ht="14.25">
      <c r="A5" s="15"/>
      <c r="B5" s="15"/>
      <c r="C5" s="16"/>
      <c r="D5" s="16"/>
      <c r="E5" s="16"/>
      <c r="F5" s="11"/>
      <c r="G5" s="17"/>
      <c r="H5" s="16"/>
      <c r="I5" s="16"/>
      <c r="J5" s="16"/>
      <c r="K5" s="17"/>
    </row>
    <row r="6" spans="1:11" ht="14.25">
      <c r="A6" s="17"/>
      <c r="B6" s="14" t="str">
        <f>CONCATENATE("______________________ ",IF(Source!AL12&lt;&gt;"",Source!AL12,""))</f>
        <v>______________________ </v>
      </c>
      <c r="C6" s="14"/>
      <c r="D6" s="14"/>
      <c r="E6" s="14"/>
      <c r="F6" s="11"/>
      <c r="G6" s="14" t="str">
        <f>CONCATENATE("______________________ ",IF(Source!AH12&lt;&gt;"",Source!AH12,""))</f>
        <v>______________________ </v>
      </c>
      <c r="H6" s="14"/>
      <c r="I6" s="14"/>
      <c r="J6" s="14"/>
      <c r="K6" s="14"/>
    </row>
    <row r="7" spans="1:11" ht="14.25">
      <c r="A7" s="18"/>
      <c r="B7" s="19" t="s">
        <v>528</v>
      </c>
      <c r="C7" s="19"/>
      <c r="D7" s="19"/>
      <c r="E7" s="19"/>
      <c r="F7" s="11"/>
      <c r="G7" s="19" t="s">
        <v>528</v>
      </c>
      <c r="H7" s="19"/>
      <c r="I7" s="19"/>
      <c r="J7" s="19"/>
      <c r="K7" s="19"/>
    </row>
    <row r="9" spans="1:11" ht="14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31" ht="15.75">
      <c r="A10" s="20" t="str">
        <f>IF(Source!G12&lt;&gt;"Новый объект",Source!G12,"")</f>
        <v>Строительство КЛ-20 кВ от ПС Никулино до РП-20 кВ ЦОД МО РФ_(4)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AE10" s="35" t="str">
        <f>IF(Source!G12&lt;&gt;"Новый объект",Source!G12,"")</f>
        <v>Строительство КЛ-20 кВ от ПС Никулино до РП-20 кВ ЦОД МО РФ_(4)</v>
      </c>
    </row>
    <row r="11" spans="1:11" ht="12.75">
      <c r="A11" s="21" t="s">
        <v>529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</row>
    <row r="12" spans="1:11" ht="14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</row>
    <row r="13" spans="1:31" ht="15.75">
      <c r="A13" s="20" t="str">
        <f>CONCATENATE("ЛОКАЛЬНАЯ СМЕТА № ",IF(Source!F20&lt;&gt;"Новая локальная смета",Source!F20,""))</f>
        <v>ЛОКАЛЬНАЯ СМЕТА № 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AE13" s="35" t="str">
        <f>CONCATENATE("ЛОКАЛЬНАЯ СМЕТА № ",IF(Source!F20&lt;&gt;"Новая локальная смета",Source!F20,""))</f>
        <v>ЛОКАЛЬНАЯ СМЕТА № </v>
      </c>
    </row>
    <row r="14" spans="1:11" ht="14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</row>
    <row r="15" spans="1:31" ht="18">
      <c r="A15" s="23">
        <f>IF(Source!G20&lt;&gt;"Новая локальная смета",Source!G20,"")</f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AE15" s="36">
        <f>IF(Source!G20&lt;&gt;"Новая локальная смета",Source!G20,"")</f>
      </c>
    </row>
    <row r="16" spans="1:11" ht="12.75">
      <c r="A16" s="24" t="s">
        <v>530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</row>
    <row r="17" spans="1:11" ht="14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1:31" ht="14.25">
      <c r="A18" s="26" t="str">
        <f>CONCATENATE("Основание: чертежи № ",Source!J20)</f>
        <v>Основание: чертежи № 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AE18" s="37" t="str">
        <f>CONCATENATE("Основание: чертежи № ",Source!J20)</f>
        <v>Основание: чертежи № </v>
      </c>
    </row>
    <row r="19" spans="1:11" ht="14.2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</row>
    <row r="20" spans="1:11" ht="28.5">
      <c r="A20" s="11"/>
      <c r="B20" s="11"/>
      <c r="C20" s="11"/>
      <c r="D20" s="11"/>
      <c r="E20" s="11"/>
      <c r="F20" s="11"/>
      <c r="G20" s="11"/>
      <c r="H20" s="11"/>
      <c r="I20" s="28" t="s">
        <v>531</v>
      </c>
      <c r="J20" s="28" t="s">
        <v>532</v>
      </c>
      <c r="K20" s="11"/>
    </row>
    <row r="21" spans="1:11" ht="15">
      <c r="A21" s="11"/>
      <c r="B21" s="11"/>
      <c r="C21" s="11"/>
      <c r="D21" s="11"/>
      <c r="E21" s="11"/>
      <c r="F21" s="29" t="s">
        <v>533</v>
      </c>
      <c r="G21" s="29"/>
      <c r="H21" s="29"/>
      <c r="I21" s="30">
        <f>SUM(O33:O752)/1000</f>
        <v>24059.7582</v>
      </c>
      <c r="J21" s="30">
        <f>(Source!F412/1000)</f>
        <v>45531.61249</v>
      </c>
      <c r="K21" s="31" t="s">
        <v>534</v>
      </c>
    </row>
    <row r="22" spans="1:11" ht="14.25">
      <c r="A22" s="11"/>
      <c r="B22" s="11"/>
      <c r="C22" s="11"/>
      <c r="D22" s="11"/>
      <c r="E22" s="11"/>
      <c r="F22" s="14" t="s">
        <v>28</v>
      </c>
      <c r="G22" s="14"/>
      <c r="H22" s="14"/>
      <c r="I22" s="32">
        <f>SUM(X33:X752)/1000</f>
        <v>20185.398189999996</v>
      </c>
      <c r="J22" s="32">
        <f>(Source!F403)/1000</f>
        <v>34525.46853</v>
      </c>
      <c r="K22" s="11" t="s">
        <v>534</v>
      </c>
    </row>
    <row r="23" spans="1:11" ht="14.25">
      <c r="A23" s="11"/>
      <c r="B23" s="11"/>
      <c r="C23" s="11"/>
      <c r="D23" s="11"/>
      <c r="E23" s="11"/>
      <c r="F23" s="14" t="s">
        <v>535</v>
      </c>
      <c r="G23" s="14"/>
      <c r="H23" s="14"/>
      <c r="I23" s="32">
        <f>SUM(Y33:Y752)/1000</f>
        <v>3843.3081599999996</v>
      </c>
      <c r="J23" s="32">
        <f>(Source!F404)/1000</f>
        <v>10501.660800000001</v>
      </c>
      <c r="K23" s="11" t="s">
        <v>534</v>
      </c>
    </row>
    <row r="24" spans="1:11" ht="14.25">
      <c r="A24" s="11"/>
      <c r="B24" s="11"/>
      <c r="C24" s="11"/>
      <c r="D24" s="11"/>
      <c r="E24" s="11"/>
      <c r="F24" s="14" t="s">
        <v>536</v>
      </c>
      <c r="G24" s="14"/>
      <c r="H24" s="14"/>
      <c r="I24" s="32">
        <f>SUM(Z33:Z752)/1000</f>
        <v>0</v>
      </c>
      <c r="J24" s="32">
        <f>(Source!F397)/1000</f>
        <v>0</v>
      </c>
      <c r="K24" s="11" t="s">
        <v>534</v>
      </c>
    </row>
    <row r="25" spans="1:11" ht="14.25">
      <c r="A25" s="11"/>
      <c r="B25" s="11"/>
      <c r="C25" s="11"/>
      <c r="D25" s="11"/>
      <c r="E25" s="11"/>
      <c r="F25" s="14" t="s">
        <v>537</v>
      </c>
      <c r="G25" s="14"/>
      <c r="H25" s="14"/>
      <c r="I25" s="32">
        <f>SUM(AA33:AA752)/1000</f>
        <v>31.05185</v>
      </c>
      <c r="J25" s="32">
        <f>(Source!F405)/1000</f>
        <v>504.48316</v>
      </c>
      <c r="K25" s="11" t="s">
        <v>534</v>
      </c>
    </row>
    <row r="26" spans="1:11" ht="14.25">
      <c r="A26" s="11"/>
      <c r="B26" s="11"/>
      <c r="C26" s="11"/>
      <c r="D26" s="11"/>
      <c r="E26" s="11"/>
      <c r="F26" s="14" t="s">
        <v>538</v>
      </c>
      <c r="G26" s="14"/>
      <c r="H26" s="14"/>
      <c r="I26" s="32">
        <f>SUM(W33:W752)/1000</f>
        <v>288.3838700000001</v>
      </c>
      <c r="J26" s="32">
        <f>(Source!F402+Source!F401)/1000</f>
        <v>5883.0301500000005</v>
      </c>
      <c r="K26" s="11" t="s">
        <v>534</v>
      </c>
    </row>
    <row r="27" spans="1:11" ht="14.25">
      <c r="A27" s="11"/>
      <c r="B27" s="11"/>
      <c r="C27" s="11"/>
      <c r="D27" s="11"/>
      <c r="E27" s="11"/>
      <c r="F27" s="14" t="s">
        <v>539</v>
      </c>
      <c r="G27" s="14"/>
      <c r="H27" s="14"/>
      <c r="I27" s="32">
        <f>SUM(AB33:AB752)</f>
        <v>12910.4095764758</v>
      </c>
      <c r="J27" s="32"/>
      <c r="K27" s="11" t="s">
        <v>401</v>
      </c>
    </row>
    <row r="28" spans="1:11" ht="14.25">
      <c r="A28" s="11"/>
      <c r="B28" s="11"/>
      <c r="C28" s="11"/>
      <c r="D28" s="11"/>
      <c r="E28" s="11"/>
      <c r="F28" s="17"/>
      <c r="G28" s="17"/>
      <c r="H28" s="17"/>
      <c r="I28" s="32"/>
      <c r="J28" s="32"/>
      <c r="K28" s="11"/>
    </row>
    <row r="29" spans="1:11" ht="14.25">
      <c r="A29" s="11" t="s">
        <v>540</v>
      </c>
      <c r="B29" s="11"/>
      <c r="C29" s="11"/>
      <c r="D29" s="11"/>
      <c r="E29" s="11"/>
      <c r="F29" s="17"/>
      <c r="G29" s="17"/>
      <c r="H29" s="17"/>
      <c r="I29" s="32"/>
      <c r="J29" s="32"/>
      <c r="K29" s="11"/>
    </row>
    <row r="30" spans="1:31" ht="14.25">
      <c r="A30" s="26" t="s">
        <v>552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AE30" s="37" t="s">
        <v>552</v>
      </c>
    </row>
    <row r="31" spans="1:11" ht="85.5">
      <c r="A31" s="33" t="s">
        <v>541</v>
      </c>
      <c r="B31" s="33" t="s">
        <v>542</v>
      </c>
      <c r="C31" s="33" t="s">
        <v>543</v>
      </c>
      <c r="D31" s="33" t="s">
        <v>544</v>
      </c>
      <c r="E31" s="33" t="s">
        <v>545</v>
      </c>
      <c r="F31" s="33" t="s">
        <v>546</v>
      </c>
      <c r="G31" s="34" t="s">
        <v>547</v>
      </c>
      <c r="H31" s="34" t="s">
        <v>548</v>
      </c>
      <c r="I31" s="33" t="s">
        <v>549</v>
      </c>
      <c r="J31" s="33" t="s">
        <v>550</v>
      </c>
      <c r="K31" s="33" t="s">
        <v>551</v>
      </c>
    </row>
    <row r="32" spans="1:11" ht="14.25">
      <c r="A32" s="33">
        <v>1</v>
      </c>
      <c r="B32" s="33">
        <v>2</v>
      </c>
      <c r="C32" s="33">
        <v>3</v>
      </c>
      <c r="D32" s="33">
        <v>4</v>
      </c>
      <c r="E32" s="33">
        <v>5</v>
      </c>
      <c r="F32" s="33">
        <v>6</v>
      </c>
      <c r="G32" s="33">
        <v>7</v>
      </c>
      <c r="H32" s="33">
        <v>8</v>
      </c>
      <c r="I32" s="33">
        <v>9</v>
      </c>
      <c r="J32" s="33">
        <v>10</v>
      </c>
      <c r="K32" s="33">
        <v>11</v>
      </c>
    </row>
    <row r="34" spans="1:31" ht="16.5">
      <c r="A34" s="38" t="str">
        <f>CONCATENATE("Раздел: ",IF(Source!G24&lt;&gt;"Новый раздел",Source!G24,""))</f>
        <v>Раздел: ПКЛ-20 кВ от ПС "Никулино"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AE34" s="39" t="str">
        <f>CONCATENATE("Раздел: ",IF(Source!G24&lt;&gt;"Новый раздел",Source!G24,""))</f>
        <v>Раздел: ПКЛ-20 кВ от ПС "Никулино"</v>
      </c>
    </row>
    <row r="36" spans="1:31" ht="16.5">
      <c r="A36" s="38" t="str">
        <f>CONCATENATE("Подраздел: ",IF(Source!G28&lt;&gt;"Новый подраздел",Source!G28,""))</f>
        <v>Подраздел: Строительные и земляные работы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AE36" s="39" t="str">
        <f>CONCATENATE("Подраздел: ",IF(Source!G28&lt;&gt;"Новый подраздел",Source!G28,""))</f>
        <v>Подраздел: Строительные и земляные работы</v>
      </c>
    </row>
    <row r="37" spans="1:22" ht="57">
      <c r="A37" s="40" t="str">
        <f>Source!E32</f>
        <v>1</v>
      </c>
      <c r="B37" s="41" t="s">
        <v>553</v>
      </c>
      <c r="C37" s="41" t="str">
        <f>Source!G32</f>
        <v>РАЗРАБОТКА ГРУНТА ВРУЧНУЮ В ТРАНШЕЯХ ГЛУБИНОЙ ДО 2 М БЕЗ КРЕПЛЕНИЙ С ОТКОСАМИ ГРУППА ГРУНТОВ 1-3</v>
      </c>
      <c r="D37" s="42" t="str">
        <f>Source!H32</f>
        <v>100 м3</v>
      </c>
      <c r="E37" s="10">
        <f>Source!I32</f>
        <v>3.792</v>
      </c>
      <c r="F37" s="44"/>
      <c r="G37" s="43"/>
      <c r="H37" s="10"/>
      <c r="I37" s="45"/>
      <c r="J37" s="10"/>
      <c r="K37" s="45"/>
      <c r="Q37">
        <f>ROUND((Source!DN32/100)*ROUND((Source!AF32*Source!AV32)*Source!I32,2),2)</f>
        <v>11672.34</v>
      </c>
      <c r="R37">
        <f>Source!X32</f>
        <v>192760.23</v>
      </c>
      <c r="S37">
        <f>ROUND((Source!DO32/100)*ROUND((Source!AF32*Source!AV32)*Source!I32,2),2)</f>
        <v>8559.71</v>
      </c>
      <c r="T37">
        <f>Source!Y32</f>
        <v>92978.46</v>
      </c>
      <c r="U37">
        <f>ROUND((175/100)*ROUND((Source!AE32*Source!AV32)*Source!I32,2),2)</f>
        <v>0</v>
      </c>
      <c r="V37">
        <f>ROUND((167/100)*ROUND(Source!CS32*Source!I32,2),2)</f>
        <v>0</v>
      </c>
    </row>
    <row r="38" ht="12.75">
      <c r="C38" s="46" t="str">
        <f>"Объем: "&amp;Source!I32&amp;"=379,2/"&amp;"100"</f>
        <v>Объем: 3,792=379,2/100</v>
      </c>
    </row>
    <row r="39" spans="1:23" ht="14.25">
      <c r="A39" s="40"/>
      <c r="B39" s="41"/>
      <c r="C39" s="41" t="s">
        <v>554</v>
      </c>
      <c r="D39" s="42"/>
      <c r="E39" s="10"/>
      <c r="F39" s="44">
        <f>Source!AO32</f>
        <v>2042.62</v>
      </c>
      <c r="G39" s="43" t="str">
        <f>Source!DG32</f>
        <v>)*1,15</v>
      </c>
      <c r="H39" s="10">
        <f>Source!AV32</f>
        <v>1.248</v>
      </c>
      <c r="I39" s="45">
        <f>ROUND((Source!AF32*Source!AV32)*Source!I32,2)</f>
        <v>11116.51</v>
      </c>
      <c r="J39" s="10">
        <f>IF(Source!BA32&lt;&gt;0,Source!BA32,1)</f>
        <v>20.4</v>
      </c>
      <c r="K39" s="45">
        <f>Source!S32</f>
        <v>226776.74</v>
      </c>
      <c r="W39">
        <f>ROUND((Source!AF32*Source!AV32)*Source!I32,2)</f>
        <v>11116.51</v>
      </c>
    </row>
    <row r="40" spans="1:11" ht="14.25">
      <c r="A40" s="40"/>
      <c r="B40" s="41"/>
      <c r="C40" s="41" t="s">
        <v>555</v>
      </c>
      <c r="D40" s="42"/>
      <c r="E40" s="10"/>
      <c r="F40" s="44">
        <f>Source!AM32</f>
        <v>0</v>
      </c>
      <c r="G40" s="43" t="str">
        <f>Source!DE32</f>
        <v>)*1,15</v>
      </c>
      <c r="H40" s="10">
        <f>Source!AV32</f>
        <v>1.248</v>
      </c>
      <c r="I40" s="45">
        <f>ROUND((((((Source!ET32*1.15))-((Source!EU32*1.15)))+Source!AE32)*Source!AV32)*Source!I32,2)</f>
        <v>0</v>
      </c>
      <c r="J40" s="10">
        <f>IF(Source!BB32&lt;&gt;0,Source!BB32,1)</f>
        <v>1</v>
      </c>
      <c r="K40" s="45">
        <f>Source!Q32</f>
        <v>0</v>
      </c>
    </row>
    <row r="41" spans="1:23" ht="14.25">
      <c r="A41" s="40"/>
      <c r="B41" s="41"/>
      <c r="C41" s="41" t="s">
        <v>556</v>
      </c>
      <c r="D41" s="42"/>
      <c r="E41" s="10"/>
      <c r="F41" s="44">
        <f>Source!AN32</f>
        <v>0</v>
      </c>
      <c r="G41" s="43" t="str">
        <f>Source!DF32</f>
        <v>)*1,15</v>
      </c>
      <c r="H41" s="10">
        <f>Source!AV32</f>
        <v>1.248</v>
      </c>
      <c r="I41" s="47">
        <f>ROUND((Source!AE32*Source!AV32)*Source!I32,2)</f>
        <v>0</v>
      </c>
      <c r="J41" s="10">
        <f>IF(Source!BS32&lt;&gt;0,Source!BS32,1)</f>
        <v>20.4</v>
      </c>
      <c r="K41" s="47">
        <f>Source!R32</f>
        <v>0</v>
      </c>
      <c r="W41">
        <f>ROUND((Source!AE32*Source!AV32)*Source!I32,2)</f>
        <v>0</v>
      </c>
    </row>
    <row r="42" spans="1:11" ht="14.25">
      <c r="A42" s="40"/>
      <c r="B42" s="41"/>
      <c r="C42" s="41" t="s">
        <v>557</v>
      </c>
      <c r="D42" s="42"/>
      <c r="E42" s="10"/>
      <c r="F42" s="44">
        <f>Source!AL32</f>
        <v>0</v>
      </c>
      <c r="G42" s="43">
        <f>Source!DD32</f>
      </c>
      <c r="H42" s="10">
        <f>Source!AW32</f>
        <v>1</v>
      </c>
      <c r="I42" s="45">
        <f>ROUND((Source!AC32*Source!AW32)*Source!I32,2)</f>
        <v>0</v>
      </c>
      <c r="J42" s="10">
        <f>IF(Source!BC32&lt;&gt;0,Source!BC32,1)</f>
        <v>1</v>
      </c>
      <c r="K42" s="45">
        <f>Source!P32</f>
        <v>0</v>
      </c>
    </row>
    <row r="43" spans="1:11" ht="14.25">
      <c r="A43" s="40"/>
      <c r="B43" s="41"/>
      <c r="C43" s="41" t="s">
        <v>558</v>
      </c>
      <c r="D43" s="42" t="s">
        <v>559</v>
      </c>
      <c r="E43" s="10">
        <f>Source!DN32</f>
        <v>105</v>
      </c>
      <c r="F43" s="44"/>
      <c r="G43" s="43"/>
      <c r="H43" s="10"/>
      <c r="I43" s="45">
        <f>SUM(Q37:Q42)</f>
        <v>11672.34</v>
      </c>
      <c r="J43" s="10">
        <f>Source!BZ32</f>
        <v>85</v>
      </c>
      <c r="K43" s="45">
        <f>SUM(R37:R42)</f>
        <v>192760.23</v>
      </c>
    </row>
    <row r="44" spans="1:11" ht="14.25">
      <c r="A44" s="40"/>
      <c r="B44" s="41"/>
      <c r="C44" s="41" t="s">
        <v>560</v>
      </c>
      <c r="D44" s="42" t="s">
        <v>559</v>
      </c>
      <c r="E44" s="10">
        <f>Source!DO32</f>
        <v>77</v>
      </c>
      <c r="F44" s="44"/>
      <c r="G44" s="43"/>
      <c r="H44" s="10"/>
      <c r="I44" s="45">
        <f>SUM(S37:S43)</f>
        <v>8559.71</v>
      </c>
      <c r="J44" s="10">
        <f>Source!CA32</f>
        <v>41</v>
      </c>
      <c r="K44" s="45">
        <f>SUM(T37:T43)</f>
        <v>92978.46</v>
      </c>
    </row>
    <row r="45" spans="1:11" ht="14.25">
      <c r="A45" s="40"/>
      <c r="B45" s="41"/>
      <c r="C45" s="41" t="s">
        <v>561</v>
      </c>
      <c r="D45" s="42" t="s">
        <v>559</v>
      </c>
      <c r="E45" s="10">
        <f>175</f>
        <v>175</v>
      </c>
      <c r="F45" s="44"/>
      <c r="G45" s="43"/>
      <c r="H45" s="10"/>
      <c r="I45" s="45">
        <f>SUM(U37:U44)</f>
        <v>0</v>
      </c>
      <c r="J45" s="10">
        <f>167</f>
        <v>167</v>
      </c>
      <c r="K45" s="45">
        <f>SUM(V37:V44)</f>
        <v>0</v>
      </c>
    </row>
    <row r="46" spans="1:28" ht="14.25">
      <c r="A46" s="40"/>
      <c r="B46" s="41"/>
      <c r="C46" s="41" t="s">
        <v>562</v>
      </c>
      <c r="D46" s="42" t="s">
        <v>563</v>
      </c>
      <c r="E46" s="10">
        <f>Source!AQ32</f>
        <v>192.7</v>
      </c>
      <c r="F46" s="44"/>
      <c r="G46" s="43" t="str">
        <f>Source!DI32</f>
        <v>)*1,15</v>
      </c>
      <c r="H46" s="10">
        <f>Source!AV32</f>
        <v>1.248</v>
      </c>
      <c r="I46" s="45">
        <f>Source!U32</f>
        <v>1048.7270476799997</v>
      </c>
      <c r="J46" s="10"/>
      <c r="K46" s="45"/>
      <c r="AB46" s="48">
        <f>I46</f>
        <v>1048.7270476799997</v>
      </c>
    </row>
    <row r="47" spans="1:27" ht="15">
      <c r="A47" s="51"/>
      <c r="B47" s="51"/>
      <c r="C47" s="52" t="s">
        <v>564</v>
      </c>
      <c r="D47" s="51"/>
      <c r="E47" s="51"/>
      <c r="F47" s="51"/>
      <c r="G47" s="51"/>
      <c r="H47" s="53">
        <f>I39+I40+I42+I43+I44+I45</f>
        <v>31348.559999999998</v>
      </c>
      <c r="I47" s="53"/>
      <c r="J47" s="53">
        <f>K39+K40+K42+K43+K44+K45</f>
        <v>512515.43</v>
      </c>
      <c r="K47" s="53"/>
      <c r="O47" s="48">
        <f>H47</f>
        <v>31348.559999999998</v>
      </c>
      <c r="P47" s="48">
        <f>J47</f>
        <v>512515.43</v>
      </c>
      <c r="X47">
        <f>IF(Source!BI32&lt;=1,I39+I40+I42+I43+I44+I45-0,0)</f>
        <v>31348.559999999998</v>
      </c>
      <c r="Y47">
        <f>IF(Source!BI32=2,I39+I40+I42+I43+I44+I45-0,0)</f>
        <v>0</v>
      </c>
      <c r="Z47">
        <f>IF(Source!BI32=3,I39+I40+I42+I43+I44+I45-0,0)</f>
        <v>0</v>
      </c>
      <c r="AA47">
        <f>IF(Source!BI32=4,I39+I40+I42+I43+I44+I45,0)</f>
        <v>0</v>
      </c>
    </row>
    <row r="49" spans="1:22" ht="52.5">
      <c r="A49" s="40" t="str">
        <f>Source!E33</f>
        <v>2</v>
      </c>
      <c r="B49" s="41" t="s">
        <v>565</v>
      </c>
      <c r="C49" s="41" t="str">
        <f>Source!G33</f>
        <v>УСТРОЙСТВО ОСНОВАНИЯ ПОД ТРУБОПРОВОДЫ ПЕСЧАНОГО</v>
      </c>
      <c r="D49" s="42" t="str">
        <f>Source!H33</f>
        <v>10 м3</v>
      </c>
      <c r="E49" s="10">
        <f>Source!I33</f>
        <v>1.884</v>
      </c>
      <c r="F49" s="44"/>
      <c r="G49" s="43"/>
      <c r="H49" s="10"/>
      <c r="I49" s="45"/>
      <c r="J49" s="10"/>
      <c r="K49" s="45"/>
      <c r="Q49">
        <f>ROUND((Source!DN33/100)*ROUND((Source!AF33*Source!AV33)*Source!I33,2),2)</f>
        <v>335.57</v>
      </c>
      <c r="R49">
        <f>Source!X33</f>
        <v>5455.86</v>
      </c>
      <c r="S49">
        <f>ROUND((Source!DO33/100)*ROUND((Source!AF33*Source!AV33)*Source!I33,2),2)</f>
        <v>285.11</v>
      </c>
      <c r="T49">
        <f>Source!Y33</f>
        <v>2727.93</v>
      </c>
      <c r="U49">
        <f>ROUND((175/100)*ROUND((Source!AE33*Source!AV33)*Source!I33,2),2)</f>
        <v>21.89</v>
      </c>
      <c r="V49">
        <f>ROUND((167/100)*ROUND(Source!CS33*Source!I33,2),2)</f>
        <v>426.08</v>
      </c>
    </row>
    <row r="50" ht="12.75">
      <c r="C50" s="46" t="str">
        <f>"Объем: "&amp;Source!I33&amp;"=18,84/"&amp;"10"</f>
        <v>Объем: 1,884=18,84/10</v>
      </c>
    </row>
    <row r="51" spans="1:23" ht="14.25">
      <c r="A51" s="40"/>
      <c r="B51" s="41"/>
      <c r="C51" s="41" t="s">
        <v>554</v>
      </c>
      <c r="D51" s="42"/>
      <c r="E51" s="10"/>
      <c r="F51" s="44">
        <f>Source!AO33</f>
        <v>109.14</v>
      </c>
      <c r="G51" s="43" t="str">
        <f>Source!DG33</f>
        <v>)*1,15</v>
      </c>
      <c r="H51" s="10">
        <f>Source!AV33</f>
        <v>1.067</v>
      </c>
      <c r="I51" s="45">
        <f>ROUND((Source!AF33*Source!AV33)*Source!I33,2)</f>
        <v>252.31</v>
      </c>
      <c r="J51" s="10">
        <f>IF(Source!BA33&lt;&gt;0,Source!BA33,1)</f>
        <v>20.4</v>
      </c>
      <c r="K51" s="45">
        <f>Source!S33</f>
        <v>5147.04</v>
      </c>
      <c r="W51">
        <f>ROUND((Source!AF33*Source!AV33)*Source!I33,2)</f>
        <v>252.31</v>
      </c>
    </row>
    <row r="52" spans="1:11" ht="14.25">
      <c r="A52" s="40"/>
      <c r="B52" s="41"/>
      <c r="C52" s="41" t="s">
        <v>555</v>
      </c>
      <c r="D52" s="42"/>
      <c r="E52" s="10"/>
      <c r="F52" s="44">
        <f>Source!AM33</f>
        <v>23.36</v>
      </c>
      <c r="G52" s="43" t="str">
        <f>Source!DE33</f>
        <v>)*1,15</v>
      </c>
      <c r="H52" s="10">
        <f>Source!AV33</f>
        <v>1.067</v>
      </c>
      <c r="I52" s="45">
        <f>ROUND((((((Source!ET33*1.15))-((Source!EU33*1.15)))+Source!AE33)*Source!AV33)*Source!I33,2)</f>
        <v>54</v>
      </c>
      <c r="J52" s="10">
        <f>IF(Source!BB33&lt;&gt;0,Source!BB33,1)</f>
        <v>7.98</v>
      </c>
      <c r="K52" s="45">
        <f>Source!Q33</f>
        <v>430.94</v>
      </c>
    </row>
    <row r="53" spans="1:23" ht="14.25">
      <c r="A53" s="40"/>
      <c r="B53" s="41"/>
      <c r="C53" s="41" t="s">
        <v>556</v>
      </c>
      <c r="D53" s="42"/>
      <c r="E53" s="10"/>
      <c r="F53" s="44">
        <f>Source!AN33</f>
        <v>5.41</v>
      </c>
      <c r="G53" s="43" t="str">
        <f>Source!DF33</f>
        <v>)*1,15</v>
      </c>
      <c r="H53" s="10">
        <f>Source!AV33</f>
        <v>1.067</v>
      </c>
      <c r="I53" s="47">
        <f>ROUND((Source!AE33*Source!AV33)*Source!I33,2)</f>
        <v>12.51</v>
      </c>
      <c r="J53" s="10">
        <f>IF(Source!BS33&lt;&gt;0,Source!BS33,1)</f>
        <v>20.4</v>
      </c>
      <c r="K53" s="47">
        <f>Source!R33</f>
        <v>255.14</v>
      </c>
      <c r="W53">
        <f>ROUND((Source!AE33*Source!AV33)*Source!I33,2)</f>
        <v>12.51</v>
      </c>
    </row>
    <row r="54" spans="1:11" ht="14.25">
      <c r="A54" s="40"/>
      <c r="B54" s="41"/>
      <c r="C54" s="41" t="s">
        <v>557</v>
      </c>
      <c r="D54" s="42"/>
      <c r="E54" s="10"/>
      <c r="F54" s="44">
        <f>Source!AL33</f>
        <v>0</v>
      </c>
      <c r="G54" s="43">
        <f>Source!DD33</f>
      </c>
      <c r="H54" s="10">
        <f>Source!AW33</f>
        <v>1.003</v>
      </c>
      <c r="I54" s="45">
        <f>ROUND((Source!AC33*Source!AW33)*Source!I33,2)</f>
        <v>0</v>
      </c>
      <c r="J54" s="10">
        <f>IF(Source!BC33&lt;&gt;0,Source!BC33,1)</f>
        <v>1</v>
      </c>
      <c r="K54" s="45">
        <f>Source!P33</f>
        <v>0</v>
      </c>
    </row>
    <row r="55" spans="1:27" ht="28.5">
      <c r="A55" s="40" t="str">
        <f>Source!E34</f>
        <v>2,1</v>
      </c>
      <c r="B55" s="41" t="str">
        <f>Source!F34</f>
        <v>1.1-1-766</v>
      </c>
      <c r="C55" s="41" t="str">
        <f>Source!G34</f>
        <v>ПЕСОК ДЛЯ СТРОИТЕЛЬНЫХ РАБОТ, РЯДОВОЙ</v>
      </c>
      <c r="D55" s="42" t="str">
        <f>Source!H34</f>
        <v>м3</v>
      </c>
      <c r="E55" s="10">
        <f>Source!I34</f>
        <v>18.84</v>
      </c>
      <c r="F55" s="44">
        <f>Source!AK34</f>
        <v>104.99</v>
      </c>
      <c r="G55" s="54" t="s">
        <v>6</v>
      </c>
      <c r="H55" s="10">
        <f>Source!AW34</f>
        <v>1.003</v>
      </c>
      <c r="I55" s="45">
        <f>ROUND((Source!AC34*Source!AW34)*Source!I34,2)+ROUND(((((Source!ET34)-(Source!EU34))+Source!AE34)*Source!AV34)*Source!I34,2)+ROUND((Source!AF34*Source!AV34)*Source!I34,2)</f>
        <v>1983.95</v>
      </c>
      <c r="J55" s="10">
        <f>IF(Source!BC34&lt;&gt;0,Source!BC34,1)</f>
        <v>5.45</v>
      </c>
      <c r="K55" s="45">
        <f>Source!O34</f>
        <v>10812.5</v>
      </c>
      <c r="Q55">
        <f>ROUND((Source!DN34/100)*ROUND((Source!AF34*Source!AV34)*Source!I34,2),2)</f>
        <v>0</v>
      </c>
      <c r="R55">
        <f>Source!X34</f>
        <v>0</v>
      </c>
      <c r="S55">
        <f>ROUND((Source!DO34/100)*ROUND((Source!AF34*Source!AV34)*Source!I34,2),2)</f>
        <v>0</v>
      </c>
      <c r="T55">
        <f>Source!Y34</f>
        <v>0</v>
      </c>
      <c r="U55">
        <f>ROUND((175/100)*ROUND((Source!AE34*Source!AV34)*Source!I34,2),2)</f>
        <v>0</v>
      </c>
      <c r="V55">
        <f>ROUND((167/100)*ROUND(Source!CS34*Source!I34,2),2)</f>
        <v>0</v>
      </c>
      <c r="X55">
        <f>IF(Source!BI34&lt;=1,I55,0)</f>
        <v>1983.95</v>
      </c>
      <c r="Y55">
        <f>IF(Source!BI34=2,I55,0)</f>
        <v>0</v>
      </c>
      <c r="Z55">
        <f>IF(Source!BI34=3,I55,0)</f>
        <v>0</v>
      </c>
      <c r="AA55">
        <f>IF(Source!BI34=4,I55,0)</f>
        <v>0</v>
      </c>
    </row>
    <row r="56" spans="1:11" ht="14.25">
      <c r="A56" s="40"/>
      <c r="B56" s="41"/>
      <c r="C56" s="41" t="s">
        <v>558</v>
      </c>
      <c r="D56" s="42" t="s">
        <v>559</v>
      </c>
      <c r="E56" s="10">
        <f>Source!DN33</f>
        <v>133</v>
      </c>
      <c r="F56" s="44"/>
      <c r="G56" s="43"/>
      <c r="H56" s="10"/>
      <c r="I56" s="45">
        <f>SUM(Q49:Q55)</f>
        <v>335.57</v>
      </c>
      <c r="J56" s="10">
        <f>Source!BZ33</f>
        <v>106</v>
      </c>
      <c r="K56" s="45">
        <f>SUM(R49:R55)</f>
        <v>5455.86</v>
      </c>
    </row>
    <row r="57" spans="1:11" ht="14.25">
      <c r="A57" s="40"/>
      <c r="B57" s="41"/>
      <c r="C57" s="41" t="s">
        <v>560</v>
      </c>
      <c r="D57" s="42" t="s">
        <v>559</v>
      </c>
      <c r="E57" s="10">
        <f>Source!DO33</f>
        <v>113</v>
      </c>
      <c r="F57" s="44"/>
      <c r="G57" s="43"/>
      <c r="H57" s="10"/>
      <c r="I57" s="45">
        <f>SUM(S49:S56)</f>
        <v>285.11</v>
      </c>
      <c r="J57" s="10">
        <f>Source!CA33</f>
        <v>53</v>
      </c>
      <c r="K57" s="45">
        <f>SUM(T49:T56)</f>
        <v>2727.93</v>
      </c>
    </row>
    <row r="58" spans="1:11" ht="14.25">
      <c r="A58" s="40"/>
      <c r="B58" s="41"/>
      <c r="C58" s="41" t="s">
        <v>561</v>
      </c>
      <c r="D58" s="42" t="s">
        <v>559</v>
      </c>
      <c r="E58" s="10">
        <f>175</f>
        <v>175</v>
      </c>
      <c r="F58" s="44"/>
      <c r="G58" s="43"/>
      <c r="H58" s="10"/>
      <c r="I58" s="45">
        <f>SUM(U49:U57)</f>
        <v>21.89</v>
      </c>
      <c r="J58" s="10">
        <f>167</f>
        <v>167</v>
      </c>
      <c r="K58" s="45">
        <f>SUM(V49:V57)</f>
        <v>426.08</v>
      </c>
    </row>
    <row r="59" spans="1:28" ht="14.25">
      <c r="A59" s="40"/>
      <c r="B59" s="41"/>
      <c r="C59" s="41" t="s">
        <v>562</v>
      </c>
      <c r="D59" s="42" t="s">
        <v>563</v>
      </c>
      <c r="E59" s="10">
        <f>Source!AQ33</f>
        <v>10.2</v>
      </c>
      <c r="F59" s="44"/>
      <c r="G59" s="43" t="str">
        <f>Source!DI33</f>
        <v>)*1,15</v>
      </c>
      <c r="H59" s="10">
        <f>Source!AV33</f>
        <v>1.067</v>
      </c>
      <c r="I59" s="45">
        <f>Source!U33</f>
        <v>23.579974439999994</v>
      </c>
      <c r="J59" s="10"/>
      <c r="K59" s="45"/>
      <c r="AB59" s="48">
        <f>I59</f>
        <v>23.579974439999994</v>
      </c>
    </row>
    <row r="60" spans="1:27" ht="15">
      <c r="A60" s="51"/>
      <c r="B60" s="51"/>
      <c r="C60" s="52" t="s">
        <v>564</v>
      </c>
      <c r="D60" s="51"/>
      <c r="E60" s="51"/>
      <c r="F60" s="51"/>
      <c r="G60" s="51"/>
      <c r="H60" s="53">
        <f>I51+I52+I54+I56+I57+I58+SUM(I55:I55)</f>
        <v>2932.83</v>
      </c>
      <c r="I60" s="53"/>
      <c r="J60" s="53">
        <f>K51+K52+K54+K56+K57+K58+SUM(K55:K55)</f>
        <v>25000.35</v>
      </c>
      <c r="K60" s="53"/>
      <c r="O60" s="48">
        <f>H60</f>
        <v>2932.83</v>
      </c>
      <c r="P60" s="48">
        <f>J60</f>
        <v>25000.35</v>
      </c>
      <c r="X60">
        <f>IF(Source!BI33&lt;=1,I51+I52+I54+I56+I57+I58-0,0)</f>
        <v>948.88</v>
      </c>
      <c r="Y60">
        <f>IF(Source!BI33=2,I51+I52+I54+I56+I57+I58-0,0)</f>
        <v>0</v>
      </c>
      <c r="Z60">
        <f>IF(Source!BI33=3,I51+I52+I54+I56+I57+I58-0,0)</f>
        <v>0</v>
      </c>
      <c r="AA60">
        <f>IF(Source!BI33=4,I51+I52+I54+I56+I57+I58,0)</f>
        <v>0</v>
      </c>
    </row>
    <row r="62" spans="1:22" ht="65.25">
      <c r="A62" s="40" t="str">
        <f>Source!E35</f>
        <v>3</v>
      </c>
      <c r="B62" s="41" t="s">
        <v>566</v>
      </c>
      <c r="C62" s="41" t="str">
        <f>Source!G35</f>
        <v>УСТРОЙСТВО ПОСТЕЛИ: ПРИ ОДНОМ КАБЕЛЕ В ТРАНШЕЕ</v>
      </c>
      <c r="D62" s="42" t="str">
        <f>Source!H35</f>
        <v>100 м</v>
      </c>
      <c r="E62" s="10">
        <f>Source!I35</f>
        <v>5.17</v>
      </c>
      <c r="F62" s="44"/>
      <c r="G62" s="43"/>
      <c r="H62" s="10"/>
      <c r="I62" s="45"/>
      <c r="J62" s="10"/>
      <c r="K62" s="45"/>
      <c r="Q62">
        <f>ROUND((Source!DN35/100)*ROUND((Source!AF35*Source!AV35)*Source!I35,2),2)</f>
        <v>532.67</v>
      </c>
      <c r="R62">
        <f>Source!X35</f>
        <v>8731.99</v>
      </c>
      <c r="S62">
        <f>ROUND((Source!DO35/100)*ROUND((Source!AF35*Source!AV35)*Source!I35,2),2)</f>
        <v>332.92</v>
      </c>
      <c r="T62">
        <f>Source!Y35</f>
        <v>4171.95</v>
      </c>
      <c r="U62">
        <f>ROUND((175/100)*ROUND((Source!AE35*Source!AV35)*Source!I35,2),2)</f>
        <v>997.48</v>
      </c>
      <c r="V62">
        <f>ROUND((167/100)*ROUND(Source!CS35*Source!I35,2),2)</f>
        <v>19418.58</v>
      </c>
    </row>
    <row r="63" ht="12.75">
      <c r="C63" s="46" t="str">
        <f>"Объем: "&amp;Source!I35&amp;"=517/"&amp;"100"</f>
        <v>Объем: 5,17=517/100</v>
      </c>
    </row>
    <row r="64" spans="1:23" ht="14.25">
      <c r="A64" s="40"/>
      <c r="B64" s="41"/>
      <c r="C64" s="41" t="s">
        <v>554</v>
      </c>
      <c r="D64" s="42"/>
      <c r="E64" s="10"/>
      <c r="F64" s="44">
        <f>Source!AO35</f>
        <v>74.97</v>
      </c>
      <c r="G64" s="43" t="str">
        <f>Source!DG35</f>
        <v>)*1,15</v>
      </c>
      <c r="H64" s="10">
        <f>Source!AV35</f>
        <v>1.067</v>
      </c>
      <c r="I64" s="45">
        <f>ROUND((Source!AF35*Source!AV35)*Source!I35,2)</f>
        <v>475.6</v>
      </c>
      <c r="J64" s="10">
        <f>IF(Source!BA35&lt;&gt;0,Source!BA35,1)</f>
        <v>20.4</v>
      </c>
      <c r="K64" s="45">
        <f>Source!S35</f>
        <v>9702.21</v>
      </c>
      <c r="W64">
        <f>ROUND((Source!AF35*Source!AV35)*Source!I35,2)</f>
        <v>475.6</v>
      </c>
    </row>
    <row r="65" spans="1:11" ht="14.25">
      <c r="A65" s="40"/>
      <c r="B65" s="41"/>
      <c r="C65" s="41" t="s">
        <v>555</v>
      </c>
      <c r="D65" s="42"/>
      <c r="E65" s="10"/>
      <c r="F65" s="44">
        <f>Source!AM35</f>
        <v>386.9</v>
      </c>
      <c r="G65" s="43" t="str">
        <f>Source!DE35</f>
        <v>)*1,15</v>
      </c>
      <c r="H65" s="10">
        <f>Source!AV35</f>
        <v>1.067</v>
      </c>
      <c r="I65" s="45">
        <f>ROUND((((((Source!ET35*1.15))-((Source!EU35*1.15)))+Source!AE35)*Source!AV35)*Source!I35,2)</f>
        <v>2454.43</v>
      </c>
      <c r="J65" s="10">
        <f>IF(Source!BB35&lt;&gt;0,Source!BB35,1)</f>
        <v>8.89</v>
      </c>
      <c r="K65" s="45">
        <f>Source!Q35</f>
        <v>21819.93</v>
      </c>
    </row>
    <row r="66" spans="1:23" ht="14.25">
      <c r="A66" s="40"/>
      <c r="B66" s="41"/>
      <c r="C66" s="41" t="s">
        <v>556</v>
      </c>
      <c r="D66" s="42"/>
      <c r="E66" s="10"/>
      <c r="F66" s="44">
        <f>Source!AN35</f>
        <v>89.85</v>
      </c>
      <c r="G66" s="43" t="str">
        <f>Source!DF35</f>
        <v>)*1,15</v>
      </c>
      <c r="H66" s="10">
        <f>Source!AV35</f>
        <v>1.067</v>
      </c>
      <c r="I66" s="47">
        <f>ROUND((Source!AE35*Source!AV35)*Source!I35,2)</f>
        <v>569.99</v>
      </c>
      <c r="J66" s="10">
        <f>IF(Source!BS35&lt;&gt;0,Source!BS35,1)</f>
        <v>20.4</v>
      </c>
      <c r="K66" s="47">
        <f>Source!R35</f>
        <v>11627.89</v>
      </c>
      <c r="W66">
        <f>ROUND((Source!AE35*Source!AV35)*Source!I35,2)</f>
        <v>569.99</v>
      </c>
    </row>
    <row r="67" spans="1:11" ht="14.25">
      <c r="A67" s="40"/>
      <c r="B67" s="41"/>
      <c r="C67" s="41" t="s">
        <v>557</v>
      </c>
      <c r="D67" s="42"/>
      <c r="E67" s="10"/>
      <c r="F67" s="44">
        <f>Source!AL35</f>
        <v>0.56</v>
      </c>
      <c r="G67" s="43">
        <f>Source!DD35</f>
      </c>
      <c r="H67" s="10">
        <f>Source!AW35</f>
        <v>1.081</v>
      </c>
      <c r="I67" s="45">
        <f>ROUND((Source!AC35*Source!AW35)*Source!I35,2)</f>
        <v>3.13</v>
      </c>
      <c r="J67" s="10">
        <f>IF(Source!BC35&lt;&gt;0,Source!BC35,1)</f>
        <v>5.23</v>
      </c>
      <c r="K67" s="45">
        <f>Source!P35</f>
        <v>16.37</v>
      </c>
    </row>
    <row r="68" spans="1:27" ht="28.5">
      <c r="A68" s="40" t="str">
        <f>Source!E36</f>
        <v>3,1</v>
      </c>
      <c r="B68" s="41" t="str">
        <f>Source!F36</f>
        <v>1.1-1-766</v>
      </c>
      <c r="C68" s="41" t="str">
        <f>Source!G36</f>
        <v>ПЕСОК ДЛЯ СТРОИТЕЛЬНЫХ РАБОТ, РЯДОВОЙ</v>
      </c>
      <c r="D68" s="42" t="str">
        <f>Source!H36</f>
        <v>м3</v>
      </c>
      <c r="E68" s="10">
        <f>Source!I36</f>
        <v>20.68</v>
      </c>
      <c r="F68" s="44">
        <f>Source!AK36</f>
        <v>104.99</v>
      </c>
      <c r="G68" s="54" t="s">
        <v>6</v>
      </c>
      <c r="H68" s="10">
        <f>Source!AW36</f>
        <v>1.081</v>
      </c>
      <c r="I68" s="45">
        <f>ROUND((Source!AC36*Source!AW36)*Source!I36,2)+ROUND(((((Source!ET36)-(Source!EU36))+Source!AE36)*Source!AV36)*Source!I36,2)+ROUND((Source!AF36*Source!AV36)*Source!I36,2)</f>
        <v>2347.06</v>
      </c>
      <c r="J68" s="10">
        <f>IF(Source!BC36&lt;&gt;0,Source!BC36,1)</f>
        <v>5.45</v>
      </c>
      <c r="K68" s="45">
        <f>Source!O36</f>
        <v>12791.48</v>
      </c>
      <c r="Q68">
        <f>ROUND((Source!DN36/100)*ROUND((Source!AF36*Source!AV36)*Source!I36,2),2)</f>
        <v>0</v>
      </c>
      <c r="R68">
        <f>Source!X36</f>
        <v>0</v>
      </c>
      <c r="S68">
        <f>ROUND((Source!DO36/100)*ROUND((Source!AF36*Source!AV36)*Source!I36,2),2)</f>
        <v>0</v>
      </c>
      <c r="T68">
        <f>Source!Y36</f>
        <v>0</v>
      </c>
      <c r="U68">
        <f>ROUND((175/100)*ROUND((Source!AE36*Source!AV36)*Source!I36,2),2)</f>
        <v>0</v>
      </c>
      <c r="V68">
        <f>ROUND((167/100)*ROUND(Source!CS36*Source!I36,2),2)</f>
        <v>0</v>
      </c>
      <c r="X68">
        <f>IF(Source!BI36&lt;=1,I68,0)</f>
        <v>2347.06</v>
      </c>
      <c r="Y68">
        <f>IF(Source!BI36=2,I68,0)</f>
        <v>0</v>
      </c>
      <c r="Z68">
        <f>IF(Source!BI36=3,I68,0)</f>
        <v>0</v>
      </c>
      <c r="AA68">
        <f>IF(Source!BI36=4,I68,0)</f>
        <v>0</v>
      </c>
    </row>
    <row r="69" spans="1:11" ht="14.25">
      <c r="A69" s="40"/>
      <c r="B69" s="41"/>
      <c r="C69" s="41" t="s">
        <v>558</v>
      </c>
      <c r="D69" s="42" t="s">
        <v>559</v>
      </c>
      <c r="E69" s="10">
        <f>Source!DN35</f>
        <v>112</v>
      </c>
      <c r="F69" s="44"/>
      <c r="G69" s="43"/>
      <c r="H69" s="10"/>
      <c r="I69" s="45">
        <f>SUM(Q62:Q68)</f>
        <v>532.67</v>
      </c>
      <c r="J69" s="10">
        <f>Source!BZ35</f>
        <v>90</v>
      </c>
      <c r="K69" s="45">
        <f>SUM(R62:R68)</f>
        <v>8731.99</v>
      </c>
    </row>
    <row r="70" spans="1:11" ht="14.25">
      <c r="A70" s="40"/>
      <c r="B70" s="41"/>
      <c r="C70" s="41" t="s">
        <v>560</v>
      </c>
      <c r="D70" s="42" t="s">
        <v>559</v>
      </c>
      <c r="E70" s="10">
        <f>Source!DO35</f>
        <v>70</v>
      </c>
      <c r="F70" s="44"/>
      <c r="G70" s="43"/>
      <c r="H70" s="10"/>
      <c r="I70" s="45">
        <f>SUM(S62:S69)</f>
        <v>332.92</v>
      </c>
      <c r="J70" s="10">
        <f>Source!CA35</f>
        <v>43</v>
      </c>
      <c r="K70" s="45">
        <f>SUM(T62:T69)</f>
        <v>4171.95</v>
      </c>
    </row>
    <row r="71" spans="1:11" ht="14.25">
      <c r="A71" s="40"/>
      <c r="B71" s="41"/>
      <c r="C71" s="41" t="s">
        <v>561</v>
      </c>
      <c r="D71" s="42" t="s">
        <v>559</v>
      </c>
      <c r="E71" s="10">
        <f>175</f>
        <v>175</v>
      </c>
      <c r="F71" s="44"/>
      <c r="G71" s="43"/>
      <c r="H71" s="10"/>
      <c r="I71" s="45">
        <f>SUM(U62:U70)</f>
        <v>997.48</v>
      </c>
      <c r="J71" s="10">
        <f>167</f>
        <v>167</v>
      </c>
      <c r="K71" s="45">
        <f>SUM(V62:V70)</f>
        <v>19418.58</v>
      </c>
    </row>
    <row r="72" spans="1:28" ht="14.25">
      <c r="A72" s="40"/>
      <c r="B72" s="41"/>
      <c r="C72" s="41" t="s">
        <v>562</v>
      </c>
      <c r="D72" s="42" t="s">
        <v>563</v>
      </c>
      <c r="E72" s="10">
        <f>Source!AQ35</f>
        <v>6.08</v>
      </c>
      <c r="F72" s="44"/>
      <c r="G72" s="43" t="str">
        <f>Source!DI35</f>
        <v>)*1,15</v>
      </c>
      <c r="H72" s="10">
        <f>Source!AV35</f>
        <v>1.067</v>
      </c>
      <c r="I72" s="45">
        <f>Source!U35</f>
        <v>38.57059887999999</v>
      </c>
      <c r="J72" s="10"/>
      <c r="K72" s="45"/>
      <c r="AB72" s="48">
        <f>I72</f>
        <v>38.57059887999999</v>
      </c>
    </row>
    <row r="73" spans="1:27" ht="15">
      <c r="A73" s="51"/>
      <c r="B73" s="51"/>
      <c r="C73" s="52" t="s">
        <v>564</v>
      </c>
      <c r="D73" s="51"/>
      <c r="E73" s="51"/>
      <c r="F73" s="51"/>
      <c r="G73" s="51"/>
      <c r="H73" s="53">
        <f>I64+I65+I67+I69+I70+I71+SUM(I68:I68)</f>
        <v>7143.289999999999</v>
      </c>
      <c r="I73" s="53"/>
      <c r="J73" s="53">
        <f>K64+K65+K67+K69+K70+K71+SUM(K68:K68)</f>
        <v>76652.51</v>
      </c>
      <c r="K73" s="53"/>
      <c r="O73" s="48">
        <f>H73</f>
        <v>7143.289999999999</v>
      </c>
      <c r="P73" s="48">
        <f>J73</f>
        <v>76652.51</v>
      </c>
      <c r="X73">
        <f>IF(Source!BI35&lt;=1,I64+I65+I67+I69+I70+I71-0,0)</f>
        <v>0</v>
      </c>
      <c r="Y73">
        <f>IF(Source!BI35=2,I64+I65+I67+I69+I70+I71-0,0)</f>
        <v>4796.23</v>
      </c>
      <c r="Z73">
        <f>IF(Source!BI35=3,I64+I65+I67+I69+I70+I71-0,0)</f>
        <v>0</v>
      </c>
      <c r="AA73">
        <f>IF(Source!BI35=4,I64+I65+I67+I69+I70+I71,0)</f>
        <v>0</v>
      </c>
    </row>
    <row r="75" spans="1:22" ht="52.5">
      <c r="A75" s="40" t="str">
        <f>Source!E37</f>
        <v>4</v>
      </c>
      <c r="B75" s="41" t="s">
        <v>567</v>
      </c>
      <c r="C75" s="41" t="str">
        <f>Source!G37</f>
        <v>УСТРОЙСТВО ТРУБОПРОВОДОВ ИЗ ПОЛИЭТИЛЕНОВЫХ ТРУБ ДО 2-Х ОТВЕРСТИЙ</v>
      </c>
      <c r="D75" s="42" t="str">
        <f>Source!H37</f>
        <v>км</v>
      </c>
      <c r="E75" s="10">
        <f>Source!I37</f>
        <v>0.628</v>
      </c>
      <c r="F75" s="44"/>
      <c r="G75" s="43"/>
      <c r="H75" s="10"/>
      <c r="I75" s="45"/>
      <c r="J75" s="10"/>
      <c r="K75" s="45"/>
      <c r="Q75">
        <f>ROUND((Source!DN37/100)*ROUND((Source!AF37*Source!AV37)*Source!I37,2),2)</f>
        <v>1283.32</v>
      </c>
      <c r="R75">
        <f>Source!X37</f>
        <v>21037.2</v>
      </c>
      <c r="S75">
        <f>ROUND((Source!DO37/100)*ROUND((Source!AF37*Source!AV37)*Source!I37,2),2)</f>
        <v>802.07</v>
      </c>
      <c r="T75">
        <f>Source!Y37</f>
        <v>9583.61</v>
      </c>
      <c r="U75">
        <f>ROUND((175/100)*ROUND((Source!AE37*Source!AV37)*Source!I37,2),2)</f>
        <v>0</v>
      </c>
      <c r="V75">
        <f>ROUND((167/100)*ROUND(Source!CS37*Source!I37,2),2)</f>
        <v>0</v>
      </c>
    </row>
    <row r="76" spans="1:23" ht="14.25">
      <c r="A76" s="40"/>
      <c r="B76" s="41"/>
      <c r="C76" s="41" t="s">
        <v>554</v>
      </c>
      <c r="D76" s="42"/>
      <c r="E76" s="10"/>
      <c r="F76" s="44">
        <f>Source!AO37</f>
        <v>1486.94</v>
      </c>
      <c r="G76" s="43" t="str">
        <f>Source!DG37</f>
        <v>)*1,15</v>
      </c>
      <c r="H76" s="10">
        <f>Source!AV37</f>
        <v>1.067</v>
      </c>
      <c r="I76" s="45">
        <f>ROUND((Source!AF37*Source!AV37)*Source!I37,2)</f>
        <v>1145.82</v>
      </c>
      <c r="J76" s="10">
        <f>IF(Source!BA37&lt;&gt;0,Source!BA37,1)</f>
        <v>20.4</v>
      </c>
      <c r="K76" s="45">
        <f>Source!S37</f>
        <v>23374.67</v>
      </c>
      <c r="W76">
        <f>ROUND((Source!AF37*Source!AV37)*Source!I37,2)</f>
        <v>1145.82</v>
      </c>
    </row>
    <row r="77" spans="1:11" ht="14.25">
      <c r="A77" s="40"/>
      <c r="B77" s="41"/>
      <c r="C77" s="41" t="s">
        <v>555</v>
      </c>
      <c r="D77" s="42"/>
      <c r="E77" s="10"/>
      <c r="F77" s="44">
        <f>Source!AM37</f>
        <v>0</v>
      </c>
      <c r="G77" s="43" t="str">
        <f>Source!DE37</f>
        <v>)*1,15</v>
      </c>
      <c r="H77" s="10">
        <f>Source!AV37</f>
        <v>1.067</v>
      </c>
      <c r="I77" s="45">
        <f>ROUND((((((Source!ET37*1.15))-((Source!EU37*1.15)))+Source!AE37)*Source!AV37)*Source!I37,2)</f>
        <v>0</v>
      </c>
      <c r="J77" s="10">
        <f>IF(Source!BB37&lt;&gt;0,Source!BB37,1)</f>
        <v>1</v>
      </c>
      <c r="K77" s="45">
        <f>Source!Q37</f>
        <v>0</v>
      </c>
    </row>
    <row r="78" spans="1:23" ht="14.25">
      <c r="A78" s="40"/>
      <c r="B78" s="41"/>
      <c r="C78" s="41" t="s">
        <v>556</v>
      </c>
      <c r="D78" s="42"/>
      <c r="E78" s="10"/>
      <c r="F78" s="44">
        <f>Source!AN37</f>
        <v>0</v>
      </c>
      <c r="G78" s="43" t="str">
        <f>Source!DF37</f>
        <v>)*1,15</v>
      </c>
      <c r="H78" s="10">
        <f>Source!AV37</f>
        <v>1.067</v>
      </c>
      <c r="I78" s="47">
        <f>ROUND((Source!AE37*Source!AV37)*Source!I37,2)</f>
        <v>0</v>
      </c>
      <c r="J78" s="10">
        <f>IF(Source!BS37&lt;&gt;0,Source!BS37,1)</f>
        <v>20.4</v>
      </c>
      <c r="K78" s="47">
        <f>Source!R37</f>
        <v>0</v>
      </c>
      <c r="W78">
        <f>ROUND((Source!AE37*Source!AV37)*Source!I37,2)</f>
        <v>0</v>
      </c>
    </row>
    <row r="79" spans="1:11" ht="14.25">
      <c r="A79" s="40"/>
      <c r="B79" s="41"/>
      <c r="C79" s="41" t="s">
        <v>557</v>
      </c>
      <c r="D79" s="42"/>
      <c r="E79" s="10"/>
      <c r="F79" s="44">
        <f>Source!AL37</f>
        <v>44.38</v>
      </c>
      <c r="G79" s="43">
        <f>Source!DD37</f>
      </c>
      <c r="H79" s="10">
        <f>Source!AW37</f>
        <v>1.081</v>
      </c>
      <c r="I79" s="45">
        <f>ROUND((Source!AC37*Source!AW37)*Source!I37,2)</f>
        <v>30.13</v>
      </c>
      <c r="J79" s="10">
        <f>IF(Source!BC37&lt;&gt;0,Source!BC37,1)</f>
        <v>5.23</v>
      </c>
      <c r="K79" s="45">
        <f>Source!P37</f>
        <v>157.57</v>
      </c>
    </row>
    <row r="80" spans="1:27" ht="54">
      <c r="A80" s="40" t="str">
        <f>Source!E38</f>
        <v>4,1</v>
      </c>
      <c r="B80" s="41" t="str">
        <f>Source!F38</f>
        <v>прайс</v>
      </c>
      <c r="C80" s="41" t="s">
        <v>568</v>
      </c>
      <c r="D80" s="42" t="str">
        <f>Source!H38</f>
        <v>км</v>
      </c>
      <c r="E80" s="10">
        <f>Source!I38</f>
        <v>0.628</v>
      </c>
      <c r="F80" s="44">
        <f>Source!AK38</f>
        <v>720338.98</v>
      </c>
      <c r="G80" s="54" t="s">
        <v>6</v>
      </c>
      <c r="H80" s="10">
        <f>Source!AW38</f>
        <v>1.081</v>
      </c>
      <c r="I80" s="45">
        <f>ROUND((Source!AC38*Source!AW38)*Source!I38,2)+ROUND(((((Source!ET38)-(Source!EU38))+Source!AE38)*Source!AV38)*Source!I38,2)+ROUND((Source!AF38*Source!AV38)*Source!I38,2)</f>
        <v>489015.08</v>
      </c>
      <c r="J80" s="10">
        <f>IF(Source!BC38&lt;&gt;0,Source!BC38,1)</f>
        <v>1</v>
      </c>
      <c r="K80" s="45">
        <f>Source!O38</f>
        <v>489015.08</v>
      </c>
      <c r="Q80">
        <f>ROUND((Source!DN38/100)*ROUND((Source!AF38*Source!AV38)*Source!I38,2),2)</f>
        <v>0</v>
      </c>
      <c r="R80">
        <f>Source!X38</f>
        <v>0</v>
      </c>
      <c r="S80">
        <f>ROUND((Source!DO38/100)*ROUND((Source!AF38*Source!AV38)*Source!I38,2),2)</f>
        <v>0</v>
      </c>
      <c r="T80">
        <f>Source!Y38</f>
        <v>0</v>
      </c>
      <c r="U80">
        <f>ROUND((175/100)*ROUND((Source!AE38*Source!AV38)*Source!I38,2),2)</f>
        <v>0</v>
      </c>
      <c r="V80">
        <f>ROUND((167/100)*ROUND(Source!CS38*Source!I38,2),2)</f>
        <v>0</v>
      </c>
      <c r="X80">
        <f>IF(Source!BI38&lt;=1,I80,0)</f>
        <v>489015.08</v>
      </c>
      <c r="Y80">
        <f>IF(Source!BI38=2,I80,0)</f>
        <v>0</v>
      </c>
      <c r="Z80">
        <f>IF(Source!BI38=3,I80,0)</f>
        <v>0</v>
      </c>
      <c r="AA80">
        <f>IF(Source!BI38=4,I80,0)</f>
        <v>0</v>
      </c>
    </row>
    <row r="81" spans="1:11" ht="14.25">
      <c r="A81" s="40"/>
      <c r="B81" s="41"/>
      <c r="C81" s="41" t="s">
        <v>558</v>
      </c>
      <c r="D81" s="42" t="s">
        <v>559</v>
      </c>
      <c r="E81" s="10">
        <f>Source!DN37</f>
        <v>112</v>
      </c>
      <c r="F81" s="44"/>
      <c r="G81" s="43"/>
      <c r="H81" s="10"/>
      <c r="I81" s="45">
        <f>SUM(Q75:Q80)</f>
        <v>1283.32</v>
      </c>
      <c r="J81" s="10">
        <f>Source!BZ37</f>
        <v>90</v>
      </c>
      <c r="K81" s="45">
        <f>SUM(R75:R80)</f>
        <v>21037.2</v>
      </c>
    </row>
    <row r="82" spans="1:11" ht="14.25">
      <c r="A82" s="40"/>
      <c r="B82" s="41"/>
      <c r="C82" s="41" t="s">
        <v>560</v>
      </c>
      <c r="D82" s="42" t="s">
        <v>559</v>
      </c>
      <c r="E82" s="10">
        <f>Source!DO37</f>
        <v>70</v>
      </c>
      <c r="F82" s="44"/>
      <c r="G82" s="43"/>
      <c r="H82" s="10"/>
      <c r="I82" s="45">
        <f>SUM(S75:S81)</f>
        <v>802.07</v>
      </c>
      <c r="J82" s="10">
        <f>Source!CA37</f>
        <v>41</v>
      </c>
      <c r="K82" s="45">
        <f>SUM(T75:T81)</f>
        <v>9583.61</v>
      </c>
    </row>
    <row r="83" spans="1:11" ht="14.25">
      <c r="A83" s="40"/>
      <c r="B83" s="41"/>
      <c r="C83" s="41" t="s">
        <v>561</v>
      </c>
      <c r="D83" s="42" t="s">
        <v>559</v>
      </c>
      <c r="E83" s="10">
        <f>175</f>
        <v>175</v>
      </c>
      <c r="F83" s="44"/>
      <c r="G83" s="43"/>
      <c r="H83" s="10"/>
      <c r="I83" s="45">
        <f>SUM(U75:U82)</f>
        <v>0</v>
      </c>
      <c r="J83" s="10">
        <f>167</f>
        <v>167</v>
      </c>
      <c r="K83" s="45">
        <f>SUM(V75:V82)</f>
        <v>0</v>
      </c>
    </row>
    <row r="84" spans="1:28" ht="14.25">
      <c r="A84" s="40"/>
      <c r="B84" s="41"/>
      <c r="C84" s="41" t="s">
        <v>562</v>
      </c>
      <c r="D84" s="42" t="s">
        <v>563</v>
      </c>
      <c r="E84" s="10">
        <f>Source!AQ37</f>
        <v>133</v>
      </c>
      <c r="F84" s="44"/>
      <c r="G84" s="43" t="str">
        <f>Source!DI37</f>
        <v>)*1,15</v>
      </c>
      <c r="H84" s="10">
        <f>Source!AV37</f>
        <v>1.067</v>
      </c>
      <c r="I84" s="45">
        <f>Source!U37</f>
        <v>102.48812419999999</v>
      </c>
      <c r="J84" s="10"/>
      <c r="K84" s="45"/>
      <c r="AB84" s="48">
        <f>I84</f>
        <v>102.48812419999999</v>
      </c>
    </row>
    <row r="85" spans="1:27" ht="15">
      <c r="A85" s="51"/>
      <c r="B85" s="51"/>
      <c r="C85" s="52" t="s">
        <v>564</v>
      </c>
      <c r="D85" s="51"/>
      <c r="E85" s="51"/>
      <c r="F85" s="51"/>
      <c r="G85" s="51"/>
      <c r="H85" s="53">
        <f>I76+I77+I79+I81+I82+I83+SUM(I80:I80)</f>
        <v>492276.42000000004</v>
      </c>
      <c r="I85" s="53"/>
      <c r="J85" s="53">
        <f>K76+K77+K79+K81+K82+K83+SUM(K80:K80)</f>
        <v>543168.13</v>
      </c>
      <c r="K85" s="53"/>
      <c r="O85" s="48">
        <f>H85</f>
        <v>492276.42000000004</v>
      </c>
      <c r="P85" s="48">
        <f>J85</f>
        <v>543168.13</v>
      </c>
      <c r="X85">
        <f>IF(Source!BI37&lt;=1,I76+I77+I79+I81+I82+I83-0,0)</f>
        <v>3261.34</v>
      </c>
      <c r="Y85">
        <f>IF(Source!BI37=2,I76+I77+I79+I81+I82+I83-0,0)</f>
        <v>0</v>
      </c>
      <c r="Z85">
        <f>IF(Source!BI37=3,I76+I77+I79+I81+I82+I83-0,0)</f>
        <v>0</v>
      </c>
      <c r="AA85">
        <f>IF(Source!BI37=4,I76+I77+I79+I81+I82+I83,0)</f>
        <v>0</v>
      </c>
    </row>
    <row r="87" spans="1:22" ht="52.5">
      <c r="A87" s="40" t="str">
        <f>Source!E39</f>
        <v>5</v>
      </c>
      <c r="B87" s="41" t="s">
        <v>569</v>
      </c>
      <c r="C87" s="41" t="str">
        <f>Source!G39</f>
        <v>ЗАСЫПКА ВРУЧНУЮ ТРАНШЕЙ, ПАЗУХ КОТЛОВАНОВ И ЯМ ГРУППА ГРУНТОВ 1-3 (песком)</v>
      </c>
      <c r="D87" s="42" t="str">
        <f>Source!H39</f>
        <v>100 м3</v>
      </c>
      <c r="E87" s="10">
        <f>Source!I39</f>
        <v>0.4136</v>
      </c>
      <c r="F87" s="44"/>
      <c r="G87" s="43"/>
      <c r="H87" s="10"/>
      <c r="I87" s="45"/>
      <c r="J87" s="10"/>
      <c r="K87" s="45"/>
      <c r="Q87">
        <f>ROUND((Source!DN39/100)*ROUND((Source!AF39*Source!AV39)*Source!I39,2),2)</f>
        <v>655.15</v>
      </c>
      <c r="R87">
        <f>Source!X39</f>
        <v>10819.28</v>
      </c>
      <c r="S87">
        <f>ROUND((Source!DO39/100)*ROUND((Source!AF39*Source!AV39)*Source!I39,2),2)</f>
        <v>480.44</v>
      </c>
      <c r="T87">
        <f>Source!Y39</f>
        <v>5218.71</v>
      </c>
      <c r="U87">
        <f>ROUND((175/100)*ROUND((Source!AE39*Source!AV39)*Source!I39,2),2)</f>
        <v>0</v>
      </c>
      <c r="V87">
        <f>ROUND((167/100)*ROUND(Source!CS39*Source!I39,2),2)</f>
        <v>0</v>
      </c>
    </row>
    <row r="88" ht="12.75">
      <c r="C88" s="46" t="str">
        <f>"Объем: "&amp;Source!I39&amp;"=41,36/"&amp;"100"</f>
        <v>Объем: 0,4136=41,36/100</v>
      </c>
    </row>
    <row r="89" spans="1:23" ht="14.25">
      <c r="A89" s="40"/>
      <c r="B89" s="41"/>
      <c r="C89" s="41" t="s">
        <v>554</v>
      </c>
      <c r="D89" s="42"/>
      <c r="E89" s="10"/>
      <c r="F89" s="44">
        <f>Source!AO39</f>
        <v>1051.13</v>
      </c>
      <c r="G89" s="43" t="str">
        <f>Source!DG39</f>
        <v>)*1,15</v>
      </c>
      <c r="H89" s="10">
        <f>Source!AV39</f>
        <v>1.248</v>
      </c>
      <c r="I89" s="45">
        <f>ROUND((Source!AF39*Source!AV39)*Source!I39,2)</f>
        <v>623.95</v>
      </c>
      <c r="J89" s="10">
        <f>IF(Source!BA39&lt;&gt;0,Source!BA39,1)</f>
        <v>20.4</v>
      </c>
      <c r="K89" s="45">
        <f>Source!S39</f>
        <v>12728.57</v>
      </c>
      <c r="W89">
        <f>ROUND((Source!AF39*Source!AV39)*Source!I39,2)</f>
        <v>623.95</v>
      </c>
    </row>
    <row r="90" spans="1:11" ht="14.25">
      <c r="A90" s="40"/>
      <c r="B90" s="41"/>
      <c r="C90" s="41" t="s">
        <v>555</v>
      </c>
      <c r="D90" s="42"/>
      <c r="E90" s="10"/>
      <c r="F90" s="44">
        <f>Source!AM39</f>
        <v>0</v>
      </c>
      <c r="G90" s="43" t="str">
        <f>Source!DE39</f>
        <v>)*1,15</v>
      </c>
      <c r="H90" s="10">
        <f>Source!AV39</f>
        <v>1.248</v>
      </c>
      <c r="I90" s="45">
        <f>ROUND((((((Source!ET39*1.15))-((Source!EU39*1.15)))+Source!AE39)*Source!AV39)*Source!I39,2)</f>
        <v>0</v>
      </c>
      <c r="J90" s="10">
        <f>IF(Source!BB39&lt;&gt;0,Source!BB39,1)</f>
        <v>1</v>
      </c>
      <c r="K90" s="45">
        <f>Source!Q39</f>
        <v>0</v>
      </c>
    </row>
    <row r="91" spans="1:23" ht="14.25">
      <c r="A91" s="40"/>
      <c r="B91" s="41"/>
      <c r="C91" s="41" t="s">
        <v>556</v>
      </c>
      <c r="D91" s="42"/>
      <c r="E91" s="10"/>
      <c r="F91" s="44">
        <f>Source!AN39</f>
        <v>0</v>
      </c>
      <c r="G91" s="43" t="str">
        <f>Source!DF39</f>
        <v>)*1,15</v>
      </c>
      <c r="H91" s="10">
        <f>Source!AV39</f>
        <v>1.248</v>
      </c>
      <c r="I91" s="47">
        <f>ROUND((Source!AE39*Source!AV39)*Source!I39,2)</f>
        <v>0</v>
      </c>
      <c r="J91" s="10">
        <f>IF(Source!BS39&lt;&gt;0,Source!BS39,1)</f>
        <v>20.4</v>
      </c>
      <c r="K91" s="47">
        <f>Source!R39</f>
        <v>0</v>
      </c>
      <c r="W91">
        <f>ROUND((Source!AE39*Source!AV39)*Source!I39,2)</f>
        <v>0</v>
      </c>
    </row>
    <row r="92" spans="1:11" ht="14.25">
      <c r="A92" s="40"/>
      <c r="B92" s="41"/>
      <c r="C92" s="41" t="s">
        <v>557</v>
      </c>
      <c r="D92" s="42"/>
      <c r="E92" s="10"/>
      <c r="F92" s="44">
        <f>Source!AL39</f>
        <v>0</v>
      </c>
      <c r="G92" s="43">
        <f>Source!DD39</f>
      </c>
      <c r="H92" s="10">
        <f>Source!AW39</f>
        <v>1</v>
      </c>
      <c r="I92" s="45">
        <f>ROUND((Source!AC39*Source!AW39)*Source!I39,2)</f>
        <v>0</v>
      </c>
      <c r="J92" s="10">
        <f>IF(Source!BC39&lt;&gt;0,Source!BC39,1)</f>
        <v>1</v>
      </c>
      <c r="K92" s="45">
        <f>Source!P39</f>
        <v>0</v>
      </c>
    </row>
    <row r="93" spans="1:27" ht="28.5">
      <c r="A93" s="40" t="str">
        <f>Source!E40</f>
        <v>5,1</v>
      </c>
      <c r="B93" s="41" t="str">
        <f>Source!F40</f>
        <v>1.1-1-766</v>
      </c>
      <c r="C93" s="41" t="str">
        <f>Source!G40</f>
        <v>ПЕСОК ДЛЯ СТРОИТЕЛЬНЫХ РАБОТ, РЯДОВОЙ</v>
      </c>
      <c r="D93" s="42" t="str">
        <f>Source!H40</f>
        <v>м3</v>
      </c>
      <c r="E93" s="10">
        <f>Source!I40</f>
        <v>41.36</v>
      </c>
      <c r="F93" s="44">
        <f>Source!AK40</f>
        <v>104.99</v>
      </c>
      <c r="G93" s="54" t="s">
        <v>6</v>
      </c>
      <c r="H93" s="10">
        <f>Source!AW40</f>
        <v>1</v>
      </c>
      <c r="I93" s="45">
        <f>ROUND((Source!AC40*Source!AW40)*Source!I40,2)+ROUND(((((Source!ET40)-(Source!EU40))+Source!AE40)*Source!AV40)*Source!I40,2)+ROUND((Source!AF40*Source!AV40)*Source!I40,2)</f>
        <v>4342.39</v>
      </c>
      <c r="J93" s="10">
        <f>IF(Source!BC40&lt;&gt;0,Source!BC40,1)</f>
        <v>5.45</v>
      </c>
      <c r="K93" s="45">
        <f>Source!O40</f>
        <v>23666.01</v>
      </c>
      <c r="Q93">
        <f>ROUND((Source!DN40/100)*ROUND((Source!AF40*Source!AV40)*Source!I40,2),2)</f>
        <v>0</v>
      </c>
      <c r="R93">
        <f>Source!X40</f>
        <v>0</v>
      </c>
      <c r="S93">
        <f>ROUND((Source!DO40/100)*ROUND((Source!AF40*Source!AV40)*Source!I40,2),2)</f>
        <v>0</v>
      </c>
      <c r="T93">
        <f>Source!Y40</f>
        <v>0</v>
      </c>
      <c r="U93">
        <f>ROUND((175/100)*ROUND((Source!AE40*Source!AV40)*Source!I40,2),2)</f>
        <v>0</v>
      </c>
      <c r="V93">
        <f>ROUND((167/100)*ROUND(Source!CS40*Source!I40,2),2)</f>
        <v>0</v>
      </c>
      <c r="X93">
        <f>IF(Source!BI40&lt;=1,I93,0)</f>
        <v>4342.39</v>
      </c>
      <c r="Y93">
        <f>IF(Source!BI40=2,I93,0)</f>
        <v>0</v>
      </c>
      <c r="Z93">
        <f>IF(Source!BI40=3,I93,0)</f>
        <v>0</v>
      </c>
      <c r="AA93">
        <f>IF(Source!BI40=4,I93,0)</f>
        <v>0</v>
      </c>
    </row>
    <row r="94" spans="1:11" ht="14.25">
      <c r="A94" s="40"/>
      <c r="B94" s="41"/>
      <c r="C94" s="41" t="s">
        <v>558</v>
      </c>
      <c r="D94" s="42" t="s">
        <v>559</v>
      </c>
      <c r="E94" s="10">
        <f>Source!DN39</f>
        <v>105</v>
      </c>
      <c r="F94" s="44"/>
      <c r="G94" s="43"/>
      <c r="H94" s="10"/>
      <c r="I94" s="45">
        <f>SUM(Q87:Q93)</f>
        <v>655.15</v>
      </c>
      <c r="J94" s="10">
        <f>Source!BZ39</f>
        <v>85</v>
      </c>
      <c r="K94" s="45">
        <f>SUM(R87:R93)</f>
        <v>10819.28</v>
      </c>
    </row>
    <row r="95" spans="1:11" ht="14.25">
      <c r="A95" s="40"/>
      <c r="B95" s="41"/>
      <c r="C95" s="41" t="s">
        <v>560</v>
      </c>
      <c r="D95" s="42" t="s">
        <v>559</v>
      </c>
      <c r="E95" s="10">
        <f>Source!DO39</f>
        <v>77</v>
      </c>
      <c r="F95" s="44"/>
      <c r="G95" s="43"/>
      <c r="H95" s="10"/>
      <c r="I95" s="45">
        <f>SUM(S87:S94)</f>
        <v>480.44</v>
      </c>
      <c r="J95" s="10">
        <f>Source!CA39</f>
        <v>41</v>
      </c>
      <c r="K95" s="45">
        <f>SUM(T87:T94)</f>
        <v>5218.71</v>
      </c>
    </row>
    <row r="96" spans="1:11" ht="14.25">
      <c r="A96" s="40"/>
      <c r="B96" s="41"/>
      <c r="C96" s="41" t="s">
        <v>561</v>
      </c>
      <c r="D96" s="42" t="s">
        <v>559</v>
      </c>
      <c r="E96" s="10">
        <f>175</f>
        <v>175</v>
      </c>
      <c r="F96" s="44"/>
      <c r="G96" s="43"/>
      <c r="H96" s="10"/>
      <c r="I96" s="45">
        <f>SUM(U87:U95)</f>
        <v>0</v>
      </c>
      <c r="J96" s="10">
        <f>167</f>
        <v>167</v>
      </c>
      <c r="K96" s="45">
        <f>SUM(V87:V95)</f>
        <v>0</v>
      </c>
    </row>
    <row r="97" spans="1:28" ht="14.25">
      <c r="A97" s="40"/>
      <c r="B97" s="41"/>
      <c r="C97" s="41" t="s">
        <v>562</v>
      </c>
      <c r="D97" s="42" t="s">
        <v>563</v>
      </c>
      <c r="E97" s="10">
        <f>Source!AQ39</f>
        <v>107.04</v>
      </c>
      <c r="F97" s="44"/>
      <c r="G97" s="43" t="str">
        <f>Source!DI39</f>
        <v>)*1,15</v>
      </c>
      <c r="H97" s="10">
        <f>Source!AV39</f>
        <v>1.248</v>
      </c>
      <c r="I97" s="45">
        <f>Source!U39</f>
        <v>63.538806988800005</v>
      </c>
      <c r="J97" s="10"/>
      <c r="K97" s="45"/>
      <c r="AB97" s="48">
        <f>I97</f>
        <v>63.538806988800005</v>
      </c>
    </row>
    <row r="98" spans="1:27" ht="15">
      <c r="A98" s="51"/>
      <c r="B98" s="51"/>
      <c r="C98" s="52" t="s">
        <v>564</v>
      </c>
      <c r="D98" s="51"/>
      <c r="E98" s="51"/>
      <c r="F98" s="51"/>
      <c r="G98" s="51"/>
      <c r="H98" s="53">
        <f>I89+I90+I92+I94+I95+I96+SUM(I93:I93)</f>
        <v>6101.93</v>
      </c>
      <c r="I98" s="53"/>
      <c r="J98" s="53">
        <f>K89+K90+K92+K94+K95+K96+SUM(K93:K93)</f>
        <v>52432.56999999999</v>
      </c>
      <c r="K98" s="53"/>
      <c r="O98" s="48">
        <f>H98</f>
        <v>6101.93</v>
      </c>
      <c r="P98" s="48">
        <f>J98</f>
        <v>52432.56999999999</v>
      </c>
      <c r="X98">
        <f>IF(Source!BI39&lt;=1,I89+I90+I92+I94+I95+I96-0,0)</f>
        <v>1759.54</v>
      </c>
      <c r="Y98">
        <f>IF(Source!BI39=2,I89+I90+I92+I94+I95+I96-0,0)</f>
        <v>0</v>
      </c>
      <c r="Z98">
        <f>IF(Source!BI39=3,I89+I90+I92+I94+I95+I96-0,0)</f>
        <v>0</v>
      </c>
      <c r="AA98">
        <f>IF(Source!BI39=4,I89+I90+I92+I94+I95+I96,0)</f>
        <v>0</v>
      </c>
    </row>
    <row r="100" spans="1:22" ht="57">
      <c r="A100" s="40" t="str">
        <f>Source!E41</f>
        <v>6</v>
      </c>
      <c r="B100" s="41" t="s">
        <v>570</v>
      </c>
      <c r="C100" s="41" t="str">
        <f>Source!G41</f>
        <v>ОГНЕЗАЩИТНОЕ ПОКРЫТИЕ ЭЛЕКТРИЧЕСКИХ КАБЕЛЕЙ, ПРОЛОЖЕННЫХ В КОЛЛЕКТОРАХ, МАСТИКОЙ "МПВО" ВРУЧНУЮ</v>
      </c>
      <c r="D100" s="42" t="str">
        <f>Source!H41</f>
        <v>м2</v>
      </c>
      <c r="E100" s="10">
        <f>Source!I41</f>
        <v>7</v>
      </c>
      <c r="F100" s="44"/>
      <c r="G100" s="43"/>
      <c r="H100" s="10"/>
      <c r="I100" s="45"/>
      <c r="J100" s="10"/>
      <c r="K100" s="45"/>
      <c r="Q100">
        <f>ROUND((Source!DN41/100)*ROUND((Source!AF41*Source!AV41)*Source!I41,2),2)</f>
        <v>312.93</v>
      </c>
      <c r="R100">
        <f>Source!X41</f>
        <v>5167.78</v>
      </c>
      <c r="S100">
        <f>ROUND((Source!DO41/100)*ROUND((Source!AF41*Source!AV41)*Source!I41,2),2)</f>
        <v>229.48</v>
      </c>
      <c r="T100">
        <f>Source!Y41</f>
        <v>2492.69</v>
      </c>
      <c r="U100">
        <f>ROUND((175/100)*ROUND((Source!AE41*Source!AV41)*Source!I41,2),2)</f>
        <v>0</v>
      </c>
      <c r="V100">
        <f>ROUND((167/100)*ROUND(Source!CS41*Source!I41,2),2)</f>
        <v>0</v>
      </c>
    </row>
    <row r="101" spans="1:23" ht="14.25">
      <c r="A101" s="40"/>
      <c r="B101" s="41"/>
      <c r="C101" s="41" t="s">
        <v>554</v>
      </c>
      <c r="D101" s="42"/>
      <c r="E101" s="10"/>
      <c r="F101" s="44">
        <f>Source!AO41</f>
        <v>35.36</v>
      </c>
      <c r="G101" s="43" t="str">
        <f>Source!DG41</f>
        <v>)*1,15</v>
      </c>
      <c r="H101" s="10">
        <f>Source!AV41</f>
        <v>1.047</v>
      </c>
      <c r="I101" s="45">
        <f>ROUND((Source!AF41*Source!AV41)*Source!I41,2)</f>
        <v>298.03</v>
      </c>
      <c r="J101" s="10">
        <f>IF(Source!BA41&lt;&gt;0,Source!BA41,1)</f>
        <v>20.4</v>
      </c>
      <c r="K101" s="45">
        <f>Source!S41</f>
        <v>6079.74</v>
      </c>
      <c r="W101">
        <f>ROUND((Source!AF41*Source!AV41)*Source!I41,2)</f>
        <v>298.03</v>
      </c>
    </row>
    <row r="102" spans="1:11" ht="14.25">
      <c r="A102" s="40"/>
      <c r="B102" s="41"/>
      <c r="C102" s="41" t="s">
        <v>555</v>
      </c>
      <c r="D102" s="42"/>
      <c r="E102" s="10"/>
      <c r="F102" s="44">
        <f>Source!AM41</f>
        <v>0</v>
      </c>
      <c r="G102" s="43" t="str">
        <f>Source!DE41</f>
        <v>)*1,15</v>
      </c>
      <c r="H102" s="10">
        <f>Source!AV41</f>
        <v>1.047</v>
      </c>
      <c r="I102" s="45">
        <f>ROUND((((((Source!ET41*1.15))-((Source!EU41*1.15)))+Source!AE41)*Source!AV41)*Source!I41,2)</f>
        <v>0</v>
      </c>
      <c r="J102" s="10">
        <f>IF(Source!BB41&lt;&gt;0,Source!BB41,1)</f>
        <v>1</v>
      </c>
      <c r="K102" s="45">
        <f>Source!Q41</f>
        <v>0</v>
      </c>
    </row>
    <row r="103" spans="1:23" ht="14.25">
      <c r="A103" s="40"/>
      <c r="B103" s="41"/>
      <c r="C103" s="41" t="s">
        <v>556</v>
      </c>
      <c r="D103" s="42"/>
      <c r="E103" s="10"/>
      <c r="F103" s="44">
        <f>Source!AN41</f>
        <v>0</v>
      </c>
      <c r="G103" s="43" t="str">
        <f>Source!DF41</f>
        <v>)*1,15</v>
      </c>
      <c r="H103" s="10">
        <f>Source!AV41</f>
        <v>1.047</v>
      </c>
      <c r="I103" s="47">
        <f>ROUND((Source!AE41*Source!AV41)*Source!I41,2)</f>
        <v>0</v>
      </c>
      <c r="J103" s="10">
        <f>IF(Source!BS41&lt;&gt;0,Source!BS41,1)</f>
        <v>20.4</v>
      </c>
      <c r="K103" s="47">
        <f>Source!R41</f>
        <v>0</v>
      </c>
      <c r="W103">
        <f>ROUND((Source!AE41*Source!AV41)*Source!I41,2)</f>
        <v>0</v>
      </c>
    </row>
    <row r="104" spans="1:11" ht="14.25">
      <c r="A104" s="40"/>
      <c r="B104" s="41"/>
      <c r="C104" s="41" t="s">
        <v>557</v>
      </c>
      <c r="D104" s="42"/>
      <c r="E104" s="10"/>
      <c r="F104" s="44">
        <f>Source!AL41</f>
        <v>0</v>
      </c>
      <c r="G104" s="43">
        <f>Source!DD41</f>
      </c>
      <c r="H104" s="10">
        <f>Source!AW41</f>
        <v>1</v>
      </c>
      <c r="I104" s="45">
        <f>ROUND((Source!AC41*Source!AW41)*Source!I41,2)</f>
        <v>0</v>
      </c>
      <c r="J104" s="10">
        <f>IF(Source!BC41&lt;&gt;0,Source!BC41,1)</f>
        <v>1</v>
      </c>
      <c r="K104" s="45">
        <f>Source!P41</f>
        <v>0</v>
      </c>
    </row>
    <row r="105" spans="1:27" ht="39.75">
      <c r="A105" s="40" t="str">
        <f>Source!E42</f>
        <v>6,1</v>
      </c>
      <c r="B105" s="41" t="str">
        <f>Source!F42</f>
        <v>прайс</v>
      </c>
      <c r="C105" s="41" t="s">
        <v>571</v>
      </c>
      <c r="D105" s="42" t="str">
        <f>Source!H42</f>
        <v>упак.</v>
      </c>
      <c r="E105" s="10">
        <f>Source!I42</f>
        <v>1</v>
      </c>
      <c r="F105" s="44">
        <f>Source!AK42</f>
        <v>16779.66</v>
      </c>
      <c r="G105" s="54" t="s">
        <v>6</v>
      </c>
      <c r="H105" s="10">
        <f>Source!AW42</f>
        <v>1</v>
      </c>
      <c r="I105" s="45">
        <f>ROUND((Source!AC42*Source!AW42)*Source!I42,2)+ROUND(((((Source!ET42)-(Source!EU42))+Source!AE42)*Source!AV42)*Source!I42,2)+ROUND((Source!AF42*Source!AV42)*Source!I42,2)</f>
        <v>16779.66</v>
      </c>
      <c r="J105" s="10">
        <f>IF(Source!BC42&lt;&gt;0,Source!BC42,1)</f>
        <v>1</v>
      </c>
      <c r="K105" s="45">
        <f>Source!O42</f>
        <v>16779.66</v>
      </c>
      <c r="Q105">
        <f>ROUND((Source!DN42/100)*ROUND((Source!AF42*Source!AV42)*Source!I42,2),2)</f>
        <v>0</v>
      </c>
      <c r="R105">
        <f>Source!X42</f>
        <v>0</v>
      </c>
      <c r="S105">
        <f>ROUND((Source!DO42/100)*ROUND((Source!AF42*Source!AV42)*Source!I42,2),2)</f>
        <v>0</v>
      </c>
      <c r="T105">
        <f>Source!Y42</f>
        <v>0</v>
      </c>
      <c r="U105">
        <f>ROUND((175/100)*ROUND((Source!AE42*Source!AV42)*Source!I42,2),2)</f>
        <v>0</v>
      </c>
      <c r="V105">
        <f>ROUND((167/100)*ROUND(Source!CS42*Source!I42,2),2)</f>
        <v>0</v>
      </c>
      <c r="X105">
        <f>IF(Source!BI42&lt;=1,I105,0)</f>
        <v>16779.66</v>
      </c>
      <c r="Y105">
        <f>IF(Source!BI42=2,I105,0)</f>
        <v>0</v>
      </c>
      <c r="Z105">
        <f>IF(Source!BI42=3,I105,0)</f>
        <v>0</v>
      </c>
      <c r="AA105">
        <f>IF(Source!BI42=4,I105,0)</f>
        <v>0</v>
      </c>
    </row>
    <row r="106" spans="1:11" ht="14.25">
      <c r="A106" s="40"/>
      <c r="B106" s="41"/>
      <c r="C106" s="41" t="s">
        <v>558</v>
      </c>
      <c r="D106" s="42" t="s">
        <v>559</v>
      </c>
      <c r="E106" s="10">
        <f>Source!DN41</f>
        <v>105</v>
      </c>
      <c r="F106" s="44"/>
      <c r="G106" s="43"/>
      <c r="H106" s="10"/>
      <c r="I106" s="45">
        <f>SUM(Q100:Q105)</f>
        <v>312.93</v>
      </c>
      <c r="J106" s="10">
        <f>Source!BZ41</f>
        <v>85</v>
      </c>
      <c r="K106" s="45">
        <f>SUM(R100:R105)</f>
        <v>5167.78</v>
      </c>
    </row>
    <row r="107" spans="1:11" ht="14.25">
      <c r="A107" s="40"/>
      <c r="B107" s="41"/>
      <c r="C107" s="41" t="s">
        <v>560</v>
      </c>
      <c r="D107" s="42" t="s">
        <v>559</v>
      </c>
      <c r="E107" s="10">
        <f>Source!DO41</f>
        <v>77</v>
      </c>
      <c r="F107" s="44"/>
      <c r="G107" s="43"/>
      <c r="H107" s="10"/>
      <c r="I107" s="45">
        <f>SUM(S100:S106)</f>
        <v>229.48</v>
      </c>
      <c r="J107" s="10">
        <f>Source!CA41</f>
        <v>41</v>
      </c>
      <c r="K107" s="45">
        <f>SUM(T100:T106)</f>
        <v>2492.69</v>
      </c>
    </row>
    <row r="108" spans="1:11" ht="14.25">
      <c r="A108" s="40"/>
      <c r="B108" s="41"/>
      <c r="C108" s="41" t="s">
        <v>561</v>
      </c>
      <c r="D108" s="42" t="s">
        <v>559</v>
      </c>
      <c r="E108" s="10">
        <f>175</f>
        <v>175</v>
      </c>
      <c r="F108" s="44"/>
      <c r="G108" s="43"/>
      <c r="H108" s="10"/>
      <c r="I108" s="45">
        <f>SUM(U100:U107)</f>
        <v>0</v>
      </c>
      <c r="J108" s="10">
        <f>167</f>
        <v>167</v>
      </c>
      <c r="K108" s="45">
        <f>SUM(V100:V107)</f>
        <v>0</v>
      </c>
    </row>
    <row r="109" spans="1:28" ht="14.25">
      <c r="A109" s="40"/>
      <c r="B109" s="41"/>
      <c r="C109" s="41" t="s">
        <v>562</v>
      </c>
      <c r="D109" s="42" t="s">
        <v>563</v>
      </c>
      <c r="E109" s="10">
        <f>Source!AQ41</f>
        <v>3.04</v>
      </c>
      <c r="F109" s="44"/>
      <c r="G109" s="43" t="str">
        <f>Source!DI41</f>
        <v>)*1,15</v>
      </c>
      <c r="H109" s="10">
        <f>Source!AV41</f>
        <v>1.047</v>
      </c>
      <c r="I109" s="45">
        <f>Source!U41</f>
        <v>25.622183999999997</v>
      </c>
      <c r="J109" s="10"/>
      <c r="K109" s="45"/>
      <c r="AB109" s="48">
        <f>I109</f>
        <v>25.622183999999997</v>
      </c>
    </row>
    <row r="110" spans="1:27" ht="15">
      <c r="A110" s="51"/>
      <c r="B110" s="51"/>
      <c r="C110" s="52" t="s">
        <v>564</v>
      </c>
      <c r="D110" s="51"/>
      <c r="E110" s="51"/>
      <c r="F110" s="51"/>
      <c r="G110" s="51"/>
      <c r="H110" s="53">
        <f>I101+I102+I104+I106+I107+I108+SUM(I105:I105)</f>
        <v>17620.1</v>
      </c>
      <c r="I110" s="53"/>
      <c r="J110" s="53">
        <f>K101+K102+K104+K106+K107+K108+SUM(K105:K105)</f>
        <v>30519.870000000003</v>
      </c>
      <c r="K110" s="53"/>
      <c r="O110" s="48">
        <f>H110</f>
        <v>17620.1</v>
      </c>
      <c r="P110" s="48">
        <f>J110</f>
        <v>30519.870000000003</v>
      </c>
      <c r="X110">
        <f>IF(Source!BI41&lt;=1,I101+I102+I104+I106+I107+I108-0,0)</f>
        <v>840.44</v>
      </c>
      <c r="Y110">
        <f>IF(Source!BI41=2,I101+I102+I104+I106+I107+I108-0,0)</f>
        <v>0</v>
      </c>
      <c r="Z110">
        <f>IF(Source!BI41=3,I101+I102+I104+I106+I107+I108-0,0)</f>
        <v>0</v>
      </c>
      <c r="AA110">
        <f>IF(Source!BI41=4,I101+I102+I104+I106+I107+I108,0)</f>
        <v>0</v>
      </c>
    </row>
    <row r="112" spans="1:22" ht="52.5">
      <c r="A112" s="40" t="str">
        <f>Source!E43</f>
        <v>7</v>
      </c>
      <c r="B112" s="41" t="s">
        <v>569</v>
      </c>
      <c r="C112" s="41" t="str">
        <f>Source!G43</f>
        <v>ЗАСЫПКА ВРУЧНУЮ ТРАНШЕЙ, ПАЗУХ КОТЛОВАНОВ И ЯМ ГРУППА ГРУНТОВ 1-3 (грунтом)</v>
      </c>
      <c r="D112" s="42" t="str">
        <f>Source!H43</f>
        <v>100 м3</v>
      </c>
      <c r="E112" s="10">
        <f>Source!I43</f>
        <v>2.9835</v>
      </c>
      <c r="F112" s="44"/>
      <c r="G112" s="43"/>
      <c r="H112" s="10"/>
      <c r="I112" s="45"/>
      <c r="J112" s="10"/>
      <c r="K112" s="45"/>
      <c r="Q112">
        <f>ROUND((Source!DN43/100)*ROUND((Source!AF43*Source!AV43)*Source!I43,2),2)</f>
        <v>4725.89</v>
      </c>
      <c r="R112">
        <f>Source!X43</f>
        <v>78044.81</v>
      </c>
      <c r="S112">
        <f>ROUND((Source!DO43/100)*ROUND((Source!AF43*Source!AV43)*Source!I43,2),2)</f>
        <v>3465.65</v>
      </c>
      <c r="T112">
        <f>Source!Y43</f>
        <v>37645.14</v>
      </c>
      <c r="U112">
        <f>ROUND((175/100)*ROUND((Source!AE43*Source!AV43)*Source!I43,2),2)</f>
        <v>0</v>
      </c>
      <c r="V112">
        <f>ROUND((167/100)*ROUND(Source!CS43*Source!I43,2),2)</f>
        <v>0</v>
      </c>
    </row>
    <row r="113" ht="12.75">
      <c r="C113" s="46" t="str">
        <f>"Объем: "&amp;Source!I43&amp;"=298,35/"&amp;"100"</f>
        <v>Объем: 2,9835=298,35/100</v>
      </c>
    </row>
    <row r="114" spans="1:23" ht="14.25">
      <c r="A114" s="40"/>
      <c r="B114" s="41"/>
      <c r="C114" s="41" t="s">
        <v>554</v>
      </c>
      <c r="D114" s="42"/>
      <c r="E114" s="10"/>
      <c r="F114" s="44">
        <f>Source!AO43</f>
        <v>1051.13</v>
      </c>
      <c r="G114" s="43" t="str">
        <f>Source!DG43</f>
        <v>)*1,15</v>
      </c>
      <c r="H114" s="10">
        <f>Source!AV43</f>
        <v>1.248</v>
      </c>
      <c r="I114" s="45">
        <f>ROUND((Source!AF43*Source!AV43)*Source!I43,2)</f>
        <v>4500.85</v>
      </c>
      <c r="J114" s="10">
        <f>IF(Source!BA43&lt;&gt;0,Source!BA43,1)</f>
        <v>20.4</v>
      </c>
      <c r="K114" s="45">
        <f>Source!S43</f>
        <v>91817.42</v>
      </c>
      <c r="W114">
        <f>ROUND((Source!AF43*Source!AV43)*Source!I43,2)</f>
        <v>4500.85</v>
      </c>
    </row>
    <row r="115" spans="1:11" ht="14.25">
      <c r="A115" s="40"/>
      <c r="B115" s="41"/>
      <c r="C115" s="41" t="s">
        <v>555</v>
      </c>
      <c r="D115" s="42"/>
      <c r="E115" s="10"/>
      <c r="F115" s="44">
        <f>Source!AM43</f>
        <v>0</v>
      </c>
      <c r="G115" s="43" t="str">
        <f>Source!DE43</f>
        <v>)*1,15</v>
      </c>
      <c r="H115" s="10">
        <f>Source!AV43</f>
        <v>1.248</v>
      </c>
      <c r="I115" s="45">
        <f>ROUND((((((Source!ET43*1.15))-((Source!EU43*1.15)))+Source!AE43)*Source!AV43)*Source!I43,2)</f>
        <v>0</v>
      </c>
      <c r="J115" s="10">
        <f>IF(Source!BB43&lt;&gt;0,Source!BB43,1)</f>
        <v>1</v>
      </c>
      <c r="K115" s="45">
        <f>Source!Q43</f>
        <v>0</v>
      </c>
    </row>
    <row r="116" spans="1:23" ht="14.25">
      <c r="A116" s="40"/>
      <c r="B116" s="41"/>
      <c r="C116" s="41" t="s">
        <v>556</v>
      </c>
      <c r="D116" s="42"/>
      <c r="E116" s="10"/>
      <c r="F116" s="44">
        <f>Source!AN43</f>
        <v>0</v>
      </c>
      <c r="G116" s="43" t="str">
        <f>Source!DF43</f>
        <v>)*1,15</v>
      </c>
      <c r="H116" s="10">
        <f>Source!AV43</f>
        <v>1.248</v>
      </c>
      <c r="I116" s="47">
        <f>ROUND((Source!AE43*Source!AV43)*Source!I43,2)</f>
        <v>0</v>
      </c>
      <c r="J116" s="10">
        <f>IF(Source!BS43&lt;&gt;0,Source!BS43,1)</f>
        <v>20.4</v>
      </c>
      <c r="K116" s="47">
        <f>Source!R43</f>
        <v>0</v>
      </c>
      <c r="W116">
        <f>ROUND((Source!AE43*Source!AV43)*Source!I43,2)</f>
        <v>0</v>
      </c>
    </row>
    <row r="117" spans="1:11" ht="14.25">
      <c r="A117" s="40"/>
      <c r="B117" s="41"/>
      <c r="C117" s="41" t="s">
        <v>557</v>
      </c>
      <c r="D117" s="42"/>
      <c r="E117" s="10"/>
      <c r="F117" s="44">
        <f>Source!AL43</f>
        <v>0</v>
      </c>
      <c r="G117" s="43">
        <f>Source!DD43</f>
      </c>
      <c r="H117" s="10">
        <f>Source!AW43</f>
        <v>1</v>
      </c>
      <c r="I117" s="45">
        <f>ROUND((Source!AC43*Source!AW43)*Source!I43,2)</f>
        <v>0</v>
      </c>
      <c r="J117" s="10">
        <f>IF(Source!BC43&lt;&gt;0,Source!BC43,1)</f>
        <v>1</v>
      </c>
      <c r="K117" s="45">
        <f>Source!P43</f>
        <v>0</v>
      </c>
    </row>
    <row r="118" spans="1:11" ht="14.25">
      <c r="A118" s="40"/>
      <c r="B118" s="41"/>
      <c r="C118" s="41" t="s">
        <v>558</v>
      </c>
      <c r="D118" s="42" t="s">
        <v>559</v>
      </c>
      <c r="E118" s="10">
        <f>Source!DN43</f>
        <v>105</v>
      </c>
      <c r="F118" s="44"/>
      <c r="G118" s="43"/>
      <c r="H118" s="10"/>
      <c r="I118" s="45">
        <f>SUM(Q112:Q117)</f>
        <v>4725.89</v>
      </c>
      <c r="J118" s="10">
        <f>Source!BZ43</f>
        <v>85</v>
      </c>
      <c r="K118" s="45">
        <f>SUM(R112:R117)</f>
        <v>78044.81</v>
      </c>
    </row>
    <row r="119" spans="1:11" ht="14.25">
      <c r="A119" s="40"/>
      <c r="B119" s="41"/>
      <c r="C119" s="41" t="s">
        <v>560</v>
      </c>
      <c r="D119" s="42" t="s">
        <v>559</v>
      </c>
      <c r="E119" s="10">
        <f>Source!DO43</f>
        <v>77</v>
      </c>
      <c r="F119" s="44"/>
      <c r="G119" s="43"/>
      <c r="H119" s="10"/>
      <c r="I119" s="45">
        <f>SUM(S112:S118)</f>
        <v>3465.65</v>
      </c>
      <c r="J119" s="10">
        <f>Source!CA43</f>
        <v>41</v>
      </c>
      <c r="K119" s="45">
        <f>SUM(T112:T118)</f>
        <v>37645.14</v>
      </c>
    </row>
    <row r="120" spans="1:11" ht="14.25">
      <c r="A120" s="40"/>
      <c r="B120" s="41"/>
      <c r="C120" s="41" t="s">
        <v>561</v>
      </c>
      <c r="D120" s="42" t="s">
        <v>559</v>
      </c>
      <c r="E120" s="10">
        <f>175</f>
        <v>175</v>
      </c>
      <c r="F120" s="44"/>
      <c r="G120" s="43"/>
      <c r="H120" s="10"/>
      <c r="I120" s="45">
        <f>SUM(U112:U119)</f>
        <v>0</v>
      </c>
      <c r="J120" s="10">
        <f>167</f>
        <v>167</v>
      </c>
      <c r="K120" s="45">
        <f>SUM(V112:V119)</f>
        <v>0</v>
      </c>
    </row>
    <row r="121" spans="1:28" ht="14.25">
      <c r="A121" s="40"/>
      <c r="B121" s="41"/>
      <c r="C121" s="41" t="s">
        <v>562</v>
      </c>
      <c r="D121" s="42" t="s">
        <v>563</v>
      </c>
      <c r="E121" s="10">
        <f>Source!AQ43</f>
        <v>107.04</v>
      </c>
      <c r="F121" s="44"/>
      <c r="G121" s="43" t="str">
        <f>Source!DI43</f>
        <v>)*1,15</v>
      </c>
      <c r="H121" s="10">
        <f>Source!AV43</f>
        <v>1.248</v>
      </c>
      <c r="I121" s="45">
        <f>Source!U43</f>
        <v>458.33663116799994</v>
      </c>
      <c r="J121" s="10"/>
      <c r="K121" s="45"/>
      <c r="AB121" s="48">
        <f>I121</f>
        <v>458.33663116799994</v>
      </c>
    </row>
    <row r="122" spans="1:27" ht="15">
      <c r="A122" s="51"/>
      <c r="B122" s="51"/>
      <c r="C122" s="52" t="s">
        <v>564</v>
      </c>
      <c r="D122" s="51"/>
      <c r="E122" s="51"/>
      <c r="F122" s="51"/>
      <c r="G122" s="51"/>
      <c r="H122" s="53">
        <f>I114+I115+I117+I118+I119+I120</f>
        <v>12692.390000000001</v>
      </c>
      <c r="I122" s="53"/>
      <c r="J122" s="53">
        <f>K114+K115+K117+K118+K119+K120</f>
        <v>207507.37</v>
      </c>
      <c r="K122" s="53"/>
      <c r="O122" s="48">
        <f>H122</f>
        <v>12692.390000000001</v>
      </c>
      <c r="P122" s="48">
        <f>J122</f>
        <v>207507.37</v>
      </c>
      <c r="X122">
        <f>IF(Source!BI43&lt;=1,I114+I115+I117+I118+I119+I120-0,0)</f>
        <v>12692.390000000001</v>
      </c>
      <c r="Y122">
        <f>IF(Source!BI43=2,I114+I115+I117+I118+I119+I120-0,0)</f>
        <v>0</v>
      </c>
      <c r="Z122">
        <f>IF(Source!BI43=3,I114+I115+I117+I118+I119+I120-0,0)</f>
        <v>0</v>
      </c>
      <c r="AA122">
        <f>IF(Source!BI43=4,I114+I115+I117+I118+I119+I120,0)</f>
        <v>0</v>
      </c>
    </row>
    <row r="124" spans="1:22" ht="42.75">
      <c r="A124" s="40" t="str">
        <f>Source!E44</f>
        <v>8</v>
      </c>
      <c r="B124" s="41" t="str">
        <f>Source!F44</f>
        <v>6.51-6-1</v>
      </c>
      <c r="C124" s="41" t="str">
        <f>Source!G44</f>
        <v>ПОГРУЗКА ГРУНТА ВРУЧНУЮ В АВТОМОБИЛИ-САМОСВАЛЫ С ВЫГРУЗКОЙ</v>
      </c>
      <c r="D124" s="42" t="str">
        <f>Source!H44</f>
        <v>100 м3</v>
      </c>
      <c r="E124" s="10">
        <f>Source!I44</f>
        <v>0.8088</v>
      </c>
      <c r="F124" s="44"/>
      <c r="G124" s="43"/>
      <c r="H124" s="10"/>
      <c r="I124" s="45"/>
      <c r="J124" s="10"/>
      <c r="K124" s="45"/>
      <c r="Q124">
        <f>ROUND((Source!DN44/100)*ROUND((Source!AF44*Source!AV44)*Source!I44,2),2)</f>
        <v>730.37</v>
      </c>
      <c r="R124">
        <f>Source!X44</f>
        <v>11952.33</v>
      </c>
      <c r="S124">
        <f>ROUND((Source!DO44/100)*ROUND((Source!AF44*Source!AV44)*Source!I44,2),2)</f>
        <v>537.74</v>
      </c>
      <c r="T124">
        <f>Source!Y44</f>
        <v>6712.95</v>
      </c>
      <c r="U124">
        <f>ROUND((175/100)*ROUND((Source!AE44*Source!AV44)*Source!I44,2),2)</f>
        <v>0</v>
      </c>
      <c r="V124">
        <f>ROUND((167/100)*ROUND(Source!CS44*Source!I44,2),2)</f>
        <v>0</v>
      </c>
    </row>
    <row r="125" ht="12.75">
      <c r="C125" s="46" t="str">
        <f>"Объем: "&amp;Source!I44&amp;"=80,88/"&amp;"100"</f>
        <v>Объем: 0,8088=80,88/100</v>
      </c>
    </row>
    <row r="126" spans="1:23" ht="14.25">
      <c r="A126" s="40"/>
      <c r="B126" s="41"/>
      <c r="C126" s="41" t="s">
        <v>554</v>
      </c>
      <c r="D126" s="42"/>
      <c r="E126" s="10"/>
      <c r="F126" s="44">
        <f>Source!AO44</f>
        <v>795.14</v>
      </c>
      <c r="G126" s="43">
        <f>Source!DG44</f>
      </c>
      <c r="H126" s="10">
        <f>Source!AV44</f>
        <v>1.248</v>
      </c>
      <c r="I126" s="45">
        <f>ROUND((Source!AF44*Source!AV44)*Source!I44,2)</f>
        <v>802.6</v>
      </c>
      <c r="J126" s="10">
        <f>IF(Source!BA44&lt;&gt;0,Source!BA44,1)</f>
        <v>20.4</v>
      </c>
      <c r="K126" s="45">
        <f>Source!S44</f>
        <v>16373.05</v>
      </c>
      <c r="W126">
        <f>ROUND((Source!AF44*Source!AV44)*Source!I44,2)</f>
        <v>802.6</v>
      </c>
    </row>
    <row r="127" spans="1:11" ht="14.25">
      <c r="A127" s="40"/>
      <c r="B127" s="41"/>
      <c r="C127" s="41" t="s">
        <v>555</v>
      </c>
      <c r="D127" s="42"/>
      <c r="E127" s="10"/>
      <c r="F127" s="44">
        <f>Source!AM44</f>
        <v>0</v>
      </c>
      <c r="G127" s="43">
        <f>Source!DE44</f>
      </c>
      <c r="H127" s="10">
        <f>Source!AV44</f>
        <v>1.248</v>
      </c>
      <c r="I127" s="45">
        <f>ROUND(((((Source!ET44)-(Source!EU44))+Source!AE44)*Source!AV44)*Source!I44,2)</f>
        <v>0</v>
      </c>
      <c r="J127" s="10">
        <f>IF(Source!BB44&lt;&gt;0,Source!BB44,1)</f>
        <v>1</v>
      </c>
      <c r="K127" s="45">
        <f>Source!Q44</f>
        <v>0</v>
      </c>
    </row>
    <row r="128" spans="1:23" ht="14.25">
      <c r="A128" s="40"/>
      <c r="B128" s="41"/>
      <c r="C128" s="41" t="s">
        <v>556</v>
      </c>
      <c r="D128" s="42"/>
      <c r="E128" s="10"/>
      <c r="F128" s="44">
        <f>Source!AN44</f>
        <v>0</v>
      </c>
      <c r="G128" s="43">
        <f>Source!DF44</f>
      </c>
      <c r="H128" s="10">
        <f>Source!AV44</f>
        <v>1.248</v>
      </c>
      <c r="I128" s="47">
        <f>ROUND((Source!AE44*Source!AV44)*Source!I44,2)</f>
        <v>0</v>
      </c>
      <c r="J128" s="10">
        <f>IF(Source!BS44&lt;&gt;0,Source!BS44,1)</f>
        <v>20.4</v>
      </c>
      <c r="K128" s="47">
        <f>Source!R44</f>
        <v>0</v>
      </c>
      <c r="W128">
        <f>ROUND((Source!AE44*Source!AV44)*Source!I44,2)</f>
        <v>0</v>
      </c>
    </row>
    <row r="129" spans="1:11" ht="14.25">
      <c r="A129" s="40"/>
      <c r="B129" s="41"/>
      <c r="C129" s="41" t="s">
        <v>557</v>
      </c>
      <c r="D129" s="42"/>
      <c r="E129" s="10"/>
      <c r="F129" s="44">
        <f>Source!AL44</f>
        <v>0</v>
      </c>
      <c r="G129" s="43">
        <f>Source!DD44</f>
      </c>
      <c r="H129" s="10">
        <f>Source!AW44</f>
        <v>1</v>
      </c>
      <c r="I129" s="45">
        <f>ROUND((Source!AC44*Source!AW44)*Source!I44,2)</f>
        <v>0</v>
      </c>
      <c r="J129" s="10">
        <f>IF(Source!BC44&lt;&gt;0,Source!BC44,1)</f>
        <v>1</v>
      </c>
      <c r="K129" s="45">
        <f>Source!P44</f>
        <v>0</v>
      </c>
    </row>
    <row r="130" spans="1:11" ht="14.25">
      <c r="A130" s="40"/>
      <c r="B130" s="41"/>
      <c r="C130" s="41" t="s">
        <v>558</v>
      </c>
      <c r="D130" s="42" t="s">
        <v>559</v>
      </c>
      <c r="E130" s="10">
        <f>Source!DN44</f>
        <v>91</v>
      </c>
      <c r="F130" s="44"/>
      <c r="G130" s="43"/>
      <c r="H130" s="10"/>
      <c r="I130" s="45">
        <f>SUM(Q124:Q129)</f>
        <v>730.37</v>
      </c>
      <c r="J130" s="10">
        <f>Source!BZ44</f>
        <v>73</v>
      </c>
      <c r="K130" s="45">
        <f>SUM(R124:R129)</f>
        <v>11952.33</v>
      </c>
    </row>
    <row r="131" spans="1:11" ht="14.25">
      <c r="A131" s="40"/>
      <c r="B131" s="41"/>
      <c r="C131" s="41" t="s">
        <v>560</v>
      </c>
      <c r="D131" s="42" t="s">
        <v>559</v>
      </c>
      <c r="E131" s="10">
        <f>Source!DO44</f>
        <v>67</v>
      </c>
      <c r="F131" s="44"/>
      <c r="G131" s="43"/>
      <c r="H131" s="10"/>
      <c r="I131" s="45">
        <f>SUM(S124:S130)</f>
        <v>537.74</v>
      </c>
      <c r="J131" s="10">
        <f>Source!CA44</f>
        <v>41</v>
      </c>
      <c r="K131" s="45">
        <f>SUM(T124:T130)</f>
        <v>6712.95</v>
      </c>
    </row>
    <row r="132" spans="1:11" ht="14.25">
      <c r="A132" s="40"/>
      <c r="B132" s="41"/>
      <c r="C132" s="41" t="s">
        <v>561</v>
      </c>
      <c r="D132" s="42" t="s">
        <v>559</v>
      </c>
      <c r="E132" s="10">
        <f>175</f>
        <v>175</v>
      </c>
      <c r="F132" s="44"/>
      <c r="G132" s="43"/>
      <c r="H132" s="10"/>
      <c r="I132" s="45">
        <f>SUM(U124:U131)</f>
        <v>0</v>
      </c>
      <c r="J132" s="10">
        <f>167</f>
        <v>167</v>
      </c>
      <c r="K132" s="45">
        <f>SUM(V124:V131)</f>
        <v>0</v>
      </c>
    </row>
    <row r="133" spans="1:28" ht="14.25">
      <c r="A133" s="40"/>
      <c r="B133" s="41"/>
      <c r="C133" s="41" t="s">
        <v>562</v>
      </c>
      <c r="D133" s="42" t="s">
        <v>563</v>
      </c>
      <c r="E133" s="10">
        <f>Source!AQ44</f>
        <v>83</v>
      </c>
      <c r="F133" s="44"/>
      <c r="G133" s="43">
        <f>Source!DI44</f>
      </c>
      <c r="H133" s="10">
        <f>Source!AV44</f>
        <v>1.248</v>
      </c>
      <c r="I133" s="45">
        <f>Source!U44</f>
        <v>83.7787392</v>
      </c>
      <c r="J133" s="10"/>
      <c r="K133" s="45"/>
      <c r="AB133" s="48">
        <f>I133</f>
        <v>83.7787392</v>
      </c>
    </row>
    <row r="134" spans="1:27" ht="15">
      <c r="A134" s="51"/>
      <c r="B134" s="51"/>
      <c r="C134" s="52" t="s">
        <v>564</v>
      </c>
      <c r="D134" s="51"/>
      <c r="E134" s="51"/>
      <c r="F134" s="51"/>
      <c r="G134" s="51"/>
      <c r="H134" s="53">
        <f>I126+I127+I129+I130+I131+I132</f>
        <v>2070.71</v>
      </c>
      <c r="I134" s="53"/>
      <c r="J134" s="53">
        <f>K126+K127+K129+K130+K131+K132</f>
        <v>35038.329999999994</v>
      </c>
      <c r="K134" s="53"/>
      <c r="O134" s="48">
        <f>H134</f>
        <v>2070.71</v>
      </c>
      <c r="P134" s="48">
        <f>J134</f>
        <v>35038.329999999994</v>
      </c>
      <c r="X134">
        <f>IF(Source!BI44&lt;=1,I126+I127+I129+I130+I131+I132-0,0)</f>
        <v>2070.71</v>
      </c>
      <c r="Y134">
        <f>IF(Source!BI44=2,I126+I127+I129+I130+I131+I132-0,0)</f>
        <v>0</v>
      </c>
      <c r="Z134">
        <f>IF(Source!BI44=3,I126+I127+I129+I130+I131+I132-0,0)</f>
        <v>0</v>
      </c>
      <c r="AA134">
        <f>IF(Source!BI44=4,I126+I127+I129+I130+I131+I132,0)</f>
        <v>0</v>
      </c>
    </row>
    <row r="136" spans="1:22" ht="57">
      <c r="A136" s="40" t="str">
        <f>Source!E45</f>
        <v>9</v>
      </c>
      <c r="B136" s="41" t="str">
        <f>Source!F45</f>
        <v>15.1-32-1</v>
      </c>
      <c r="C136" s="41" t="str">
        <f>Source!G45</f>
        <v>ПЕРЕВОЗКА ГРУНТА С I ПО V ГРУППЫ НА РАССТОЯНИЕ 32 КМ АВТОСАМОСВАЛАМИ ГРУЗОПОДЪЕМНОСТЬЮ ДО 10 Т</v>
      </c>
      <c r="D136" s="42" t="str">
        <f>Source!H45</f>
        <v>м3</v>
      </c>
      <c r="E136" s="10">
        <f>Source!I45</f>
        <v>80.88</v>
      </c>
      <c r="F136" s="44"/>
      <c r="G136" s="43"/>
      <c r="H136" s="10"/>
      <c r="I136" s="45"/>
      <c r="J136" s="10"/>
      <c r="K136" s="45"/>
      <c r="Q136">
        <f>ROUND((Source!DN45/100)*ROUND((Source!AF45*Source!AV45)*Source!I45,2),2)</f>
        <v>0</v>
      </c>
      <c r="R136">
        <f>Source!X45</f>
        <v>0</v>
      </c>
      <c r="S136">
        <f>ROUND((Source!DO45/100)*ROUND((Source!AF45*Source!AV45)*Source!I45,2),2)</f>
        <v>0</v>
      </c>
      <c r="T136">
        <f>Source!Y45</f>
        <v>0</v>
      </c>
      <c r="U136">
        <f>ROUND((175/100)*ROUND((Source!AE45*Source!AV45)*Source!I45,2),2)</f>
        <v>0</v>
      </c>
      <c r="V136">
        <f>ROUND((167/100)*ROUND(Source!CS45*Source!I45,2),2)</f>
        <v>0</v>
      </c>
    </row>
    <row r="137" spans="1:23" ht="14.25">
      <c r="A137" s="40"/>
      <c r="B137" s="41"/>
      <c r="C137" s="41" t="s">
        <v>554</v>
      </c>
      <c r="D137" s="42"/>
      <c r="E137" s="10"/>
      <c r="F137" s="44">
        <f>Source!AO45</f>
        <v>0</v>
      </c>
      <c r="G137" s="43">
        <f>Source!DG45</f>
      </c>
      <c r="H137" s="10">
        <f>Source!AV45</f>
        <v>1</v>
      </c>
      <c r="I137" s="45">
        <f>ROUND((Source!AF45*Source!AV45)*Source!I45,2)</f>
        <v>0</v>
      </c>
      <c r="J137" s="10">
        <f>IF(Source!BA45&lt;&gt;0,Source!BA45,1)</f>
        <v>20.4</v>
      </c>
      <c r="K137" s="45">
        <f>Source!S45</f>
        <v>0</v>
      </c>
      <c r="W137">
        <f>ROUND((Source!AF45*Source!AV45)*Source!I45,2)</f>
        <v>0</v>
      </c>
    </row>
    <row r="138" spans="1:11" ht="14.25">
      <c r="A138" s="40"/>
      <c r="B138" s="41"/>
      <c r="C138" s="41" t="s">
        <v>555</v>
      </c>
      <c r="D138" s="42"/>
      <c r="E138" s="10"/>
      <c r="F138" s="44">
        <f>Source!AM45</f>
        <v>58.3</v>
      </c>
      <c r="G138" s="43">
        <f>Source!DE45</f>
      </c>
      <c r="H138" s="10">
        <f>Source!AV45</f>
        <v>1</v>
      </c>
      <c r="I138" s="45">
        <f>ROUND(((((Source!ET45)-(Source!EU45))+Source!AE45)*Source!AV45)*Source!I45,2)</f>
        <v>4715.3</v>
      </c>
      <c r="J138" s="10">
        <f>IF(Source!BB45&lt;&gt;0,Source!BB45,1)</f>
        <v>9.79</v>
      </c>
      <c r="K138" s="45">
        <f>Source!Q45</f>
        <v>46162.83</v>
      </c>
    </row>
    <row r="139" spans="1:23" ht="14.25">
      <c r="A139" s="40"/>
      <c r="B139" s="41"/>
      <c r="C139" s="41" t="s">
        <v>556</v>
      </c>
      <c r="D139" s="42"/>
      <c r="E139" s="10"/>
      <c r="F139" s="44">
        <f>Source!AN45</f>
        <v>0</v>
      </c>
      <c r="G139" s="43">
        <f>Source!DF45</f>
      </c>
      <c r="H139" s="10">
        <f>Source!AV45</f>
        <v>1</v>
      </c>
      <c r="I139" s="47">
        <f>ROUND((Source!AE45*Source!AV45)*Source!I45,2)</f>
        <v>0</v>
      </c>
      <c r="J139" s="10">
        <f>IF(Source!BS45&lt;&gt;0,Source!BS45,1)</f>
        <v>20.4</v>
      </c>
      <c r="K139" s="47">
        <f>Source!R45</f>
        <v>0</v>
      </c>
      <c r="W139">
        <f>ROUND((Source!AE45*Source!AV45)*Source!I45,2)</f>
        <v>0</v>
      </c>
    </row>
    <row r="140" spans="1:11" ht="14.25">
      <c r="A140" s="40"/>
      <c r="B140" s="41"/>
      <c r="C140" s="41" t="s">
        <v>557</v>
      </c>
      <c r="D140" s="42"/>
      <c r="E140" s="10"/>
      <c r="F140" s="44">
        <f>Source!AL45</f>
        <v>0</v>
      </c>
      <c r="G140" s="43">
        <f>Source!DD45</f>
      </c>
      <c r="H140" s="10">
        <f>Source!AW45</f>
        <v>1</v>
      </c>
      <c r="I140" s="45">
        <f>ROUND((Source!AC45*Source!AW45)*Source!I45,2)</f>
        <v>0</v>
      </c>
      <c r="J140" s="10">
        <f>IF(Source!BC45&lt;&gt;0,Source!BC45,1)</f>
        <v>1</v>
      </c>
      <c r="K140" s="45">
        <f>Source!P45</f>
        <v>0</v>
      </c>
    </row>
    <row r="141" spans="1:11" ht="14.25">
      <c r="A141" s="40"/>
      <c r="B141" s="41"/>
      <c r="C141" s="41" t="s">
        <v>558</v>
      </c>
      <c r="D141" s="42" t="s">
        <v>559</v>
      </c>
      <c r="E141" s="10">
        <f>Source!DN45</f>
        <v>0</v>
      </c>
      <c r="F141" s="44"/>
      <c r="G141" s="43"/>
      <c r="H141" s="10"/>
      <c r="I141" s="45">
        <f>SUM(Q136:Q140)</f>
        <v>0</v>
      </c>
      <c r="J141" s="10">
        <f>Source!AT45</f>
        <v>0</v>
      </c>
      <c r="K141" s="45">
        <f>SUM(R136:R140)</f>
        <v>0</v>
      </c>
    </row>
    <row r="142" spans="1:11" ht="14.25">
      <c r="A142" s="40"/>
      <c r="B142" s="41"/>
      <c r="C142" s="41" t="s">
        <v>560</v>
      </c>
      <c r="D142" s="42" t="s">
        <v>559</v>
      </c>
      <c r="E142" s="10">
        <f>Source!DO45</f>
        <v>0</v>
      </c>
      <c r="F142" s="44"/>
      <c r="G142" s="43"/>
      <c r="H142" s="10"/>
      <c r="I142" s="45">
        <f>SUM(S136:S141)</f>
        <v>0</v>
      </c>
      <c r="J142" s="10">
        <f>Source!AU45</f>
        <v>0</v>
      </c>
      <c r="K142" s="45">
        <f>SUM(T136:T141)</f>
        <v>0</v>
      </c>
    </row>
    <row r="143" spans="1:11" ht="14.25">
      <c r="A143" s="40"/>
      <c r="B143" s="41"/>
      <c r="C143" s="41" t="s">
        <v>561</v>
      </c>
      <c r="D143" s="42" t="s">
        <v>559</v>
      </c>
      <c r="E143" s="10">
        <f>175</f>
        <v>175</v>
      </c>
      <c r="F143" s="44"/>
      <c r="G143" s="43"/>
      <c r="H143" s="10"/>
      <c r="I143" s="45">
        <f>SUM(U136:U142)</f>
        <v>0</v>
      </c>
      <c r="J143" s="10">
        <f>167</f>
        <v>167</v>
      </c>
      <c r="K143" s="45">
        <f>SUM(V136:V142)</f>
        <v>0</v>
      </c>
    </row>
    <row r="144" spans="1:28" ht="14.25">
      <c r="A144" s="40"/>
      <c r="B144" s="41"/>
      <c r="C144" s="41" t="s">
        <v>562</v>
      </c>
      <c r="D144" s="42" t="s">
        <v>563</v>
      </c>
      <c r="E144" s="10">
        <f>Source!AQ45</f>
        <v>0</v>
      </c>
      <c r="F144" s="44"/>
      <c r="G144" s="43">
        <f>Source!DI45</f>
      </c>
      <c r="H144" s="10">
        <f>Source!AV45</f>
        <v>1</v>
      </c>
      <c r="I144" s="45">
        <f>Source!U45</f>
        <v>0</v>
      </c>
      <c r="J144" s="10"/>
      <c r="K144" s="45"/>
      <c r="AB144" s="48">
        <f>I144</f>
        <v>0</v>
      </c>
    </row>
    <row r="145" spans="1:27" ht="15">
      <c r="A145" s="51"/>
      <c r="B145" s="51"/>
      <c r="C145" s="52" t="s">
        <v>564</v>
      </c>
      <c r="D145" s="51"/>
      <c r="E145" s="51"/>
      <c r="F145" s="51"/>
      <c r="G145" s="51"/>
      <c r="H145" s="53">
        <f>I137+I138+I140+I141+I142+I143</f>
        <v>4715.3</v>
      </c>
      <c r="I145" s="53"/>
      <c r="J145" s="53">
        <f>K137+K138+K140+K141+K142+K143</f>
        <v>46162.83</v>
      </c>
      <c r="K145" s="53"/>
      <c r="O145" s="48">
        <f>H145</f>
        <v>4715.3</v>
      </c>
      <c r="P145" s="48">
        <f>J145</f>
        <v>46162.83</v>
      </c>
      <c r="X145">
        <f>IF(Source!BI45&lt;=1,I137+I138+I140+I141+I142+I143-0,0)</f>
        <v>0</v>
      </c>
      <c r="Y145">
        <f>IF(Source!BI45=2,I137+I138+I140+I141+I142+I143-0,0)</f>
        <v>0</v>
      </c>
      <c r="Z145">
        <f>IF(Source!BI45=3,I137+I138+I140+I141+I142+I143-0,0)</f>
        <v>0</v>
      </c>
      <c r="AA145">
        <f>IF(Source!BI45=4,I137+I138+I140+I141+I142+I143,0)</f>
        <v>4715.3</v>
      </c>
    </row>
    <row r="148" spans="1:32" ht="15">
      <c r="A148" s="56" t="str">
        <f>CONCATENATE("Итого по подразделу: ",IF(Source!G47&lt;&gt;"Новый подраздел",Source!G47,""))</f>
        <v>Итого по подразделу: Строительные и земляные работы</v>
      </c>
      <c r="B148" s="56"/>
      <c r="C148" s="56"/>
      <c r="D148" s="56"/>
      <c r="E148" s="56"/>
      <c r="F148" s="56"/>
      <c r="G148" s="56"/>
      <c r="H148" s="50">
        <f>SUM(O36:O147)</f>
        <v>576901.5300000001</v>
      </c>
      <c r="I148" s="55"/>
      <c r="J148" s="50">
        <f>SUM(P36:P147)</f>
        <v>1528997.3900000001</v>
      </c>
      <c r="K148" s="55"/>
      <c r="AF148" s="57" t="str">
        <f>CONCATENATE("Итого по подразделу: ",IF(Source!G47&lt;&gt;"Новый подраздел",Source!G47,""))</f>
        <v>Итого по подразделу: Строительные и земляные работы</v>
      </c>
    </row>
    <row r="150" spans="1:31" ht="16.5">
      <c r="A150" s="38" t="str">
        <f>CONCATENATE("Подраздел: ",IF(Source!G73&lt;&gt;"Новый подраздел",Source!G73,""))</f>
        <v>Подраздел: Электромонтажные работы</v>
      </c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AE150" s="39" t="str">
        <f>CONCATENATE("Подраздел: ",IF(Source!G73&lt;&gt;"Новый подраздел",Source!G73,""))</f>
        <v>Подраздел: Электромонтажные работы</v>
      </c>
    </row>
    <row r="151" spans="1:22" ht="65.25">
      <c r="A151" s="40" t="str">
        <f>Source!E77</f>
        <v>10</v>
      </c>
      <c r="B151" s="41" t="s">
        <v>572</v>
      </c>
      <c r="C151" s="41" t="str">
        <f>Source!G77</f>
        <v>КАБЕЛИ ДО 35 КВ В ГОТОВЫХ ТРАНШЕЯХ БЕЗ ПОКРЫТИЙ, КАБЕЛЬ МАССОЙ: ДО 9 КГ</v>
      </c>
      <c r="D151" s="42" t="str">
        <f>Source!H77</f>
        <v>100 м</v>
      </c>
      <c r="E151" s="10">
        <f>Source!I77</f>
        <v>15.51</v>
      </c>
      <c r="F151" s="44"/>
      <c r="G151" s="43"/>
      <c r="H151" s="10"/>
      <c r="I151" s="45"/>
      <c r="J151" s="10"/>
      <c r="K151" s="45"/>
      <c r="Q151">
        <f>ROUND((Source!DN77/100)*ROUND((Source!AF77*Source!AV77)*Source!I77,2),2)</f>
        <v>4993.54</v>
      </c>
      <c r="R151">
        <f>Source!X77</f>
        <v>81858.43</v>
      </c>
      <c r="S151">
        <f>ROUND((Source!DO77/100)*ROUND((Source!AF77*Source!AV77)*Source!I77,2),2)</f>
        <v>3120.96</v>
      </c>
      <c r="T151">
        <f>Source!Y77</f>
        <v>39110.14</v>
      </c>
      <c r="U151">
        <f>ROUND((175/100)*ROUND((Source!AE77*Source!AV77)*Source!I77,2),2)</f>
        <v>3892.05</v>
      </c>
      <c r="V151">
        <f>ROUND((167/100)*ROUND(Source!CS77*Source!I77,2),2)</f>
        <v>75768.13</v>
      </c>
    </row>
    <row r="152" ht="12.75">
      <c r="C152" s="46" t="str">
        <f>"Объем: "&amp;Source!I77&amp;"=1551/"&amp;"100"</f>
        <v>Объем: 15,51=1551/100</v>
      </c>
    </row>
    <row r="153" spans="1:23" ht="14.25">
      <c r="A153" s="40"/>
      <c r="B153" s="41"/>
      <c r="C153" s="41" t="s">
        <v>554</v>
      </c>
      <c r="D153" s="42"/>
      <c r="E153" s="10"/>
      <c r="F153" s="44">
        <f>Source!AO77</f>
        <v>234.27</v>
      </c>
      <c r="G153" s="43" t="str">
        <f>Source!DG77</f>
        <v>)*1,15</v>
      </c>
      <c r="H153" s="10">
        <f>Source!AV77</f>
        <v>1.067</v>
      </c>
      <c r="I153" s="45">
        <f>ROUND((Source!AF77*Source!AV77)*Source!I77,2)</f>
        <v>4458.52</v>
      </c>
      <c r="J153" s="10">
        <f>IF(Source!BA77&lt;&gt;0,Source!BA77,1)</f>
        <v>20.4</v>
      </c>
      <c r="K153" s="45">
        <f>Source!S77</f>
        <v>90953.81</v>
      </c>
      <c r="W153">
        <f>ROUND((Source!AF77*Source!AV77)*Source!I77,2)</f>
        <v>4458.52</v>
      </c>
    </row>
    <row r="154" spans="1:11" ht="14.25">
      <c r="A154" s="40"/>
      <c r="B154" s="41"/>
      <c r="C154" s="41" t="s">
        <v>555</v>
      </c>
      <c r="D154" s="42"/>
      <c r="E154" s="10"/>
      <c r="F154" s="44">
        <f>Source!AM77</f>
        <v>662.25</v>
      </c>
      <c r="G154" s="43" t="str">
        <f>Source!DE77</f>
        <v>)*1,15</v>
      </c>
      <c r="H154" s="10">
        <f>Source!AV77</f>
        <v>1.067</v>
      </c>
      <c r="I154" s="45">
        <f>ROUND((((((Source!ET77*1.15))-((Source!EU77*1.15)))+Source!AE77)*Source!AV77)*Source!I77,2)</f>
        <v>12603.64</v>
      </c>
      <c r="J154" s="10">
        <f>IF(Source!BB77&lt;&gt;0,Source!BB77,1)</f>
        <v>8.06</v>
      </c>
      <c r="K154" s="45">
        <f>Source!Q77</f>
        <v>101585.35</v>
      </c>
    </row>
    <row r="155" spans="1:23" ht="14.25">
      <c r="A155" s="40"/>
      <c r="B155" s="41"/>
      <c r="C155" s="41" t="s">
        <v>556</v>
      </c>
      <c r="D155" s="42"/>
      <c r="E155" s="10"/>
      <c r="F155" s="44">
        <f>Source!AN77</f>
        <v>116.86</v>
      </c>
      <c r="G155" s="43" t="str">
        <f>Source!DF77</f>
        <v>)*1,15</v>
      </c>
      <c r="H155" s="10">
        <f>Source!AV77</f>
        <v>1.067</v>
      </c>
      <c r="I155" s="47">
        <f>ROUND((Source!AE77*Source!AV77)*Source!I77,2)</f>
        <v>2224.03</v>
      </c>
      <c r="J155" s="10">
        <f>IF(Source!BS77&lt;&gt;0,Source!BS77,1)</f>
        <v>20.4</v>
      </c>
      <c r="K155" s="47">
        <f>Source!R77</f>
        <v>45370.14</v>
      </c>
      <c r="W155">
        <f>ROUND((Source!AE77*Source!AV77)*Source!I77,2)</f>
        <v>2224.03</v>
      </c>
    </row>
    <row r="156" spans="1:11" ht="14.25">
      <c r="A156" s="40"/>
      <c r="B156" s="41"/>
      <c r="C156" s="41" t="s">
        <v>557</v>
      </c>
      <c r="D156" s="42"/>
      <c r="E156" s="10"/>
      <c r="F156" s="44">
        <f>Source!AL77</f>
        <v>25.2</v>
      </c>
      <c r="G156" s="43">
        <f>Source!DD77</f>
      </c>
      <c r="H156" s="10">
        <f>Source!AW77</f>
        <v>1.081</v>
      </c>
      <c r="I156" s="45">
        <f>ROUND((Source!AC77*Source!AW77)*Source!I77,2)</f>
        <v>422.51</v>
      </c>
      <c r="J156" s="10">
        <f>IF(Source!BC77&lt;&gt;0,Source!BC77,1)</f>
        <v>5.23</v>
      </c>
      <c r="K156" s="45">
        <f>Source!P77</f>
        <v>2209.73</v>
      </c>
    </row>
    <row r="157" spans="1:11" ht="14.25">
      <c r="A157" s="40"/>
      <c r="B157" s="41"/>
      <c r="C157" s="41" t="s">
        <v>558</v>
      </c>
      <c r="D157" s="42" t="s">
        <v>559</v>
      </c>
      <c r="E157" s="10">
        <f>Source!DN77</f>
        <v>112</v>
      </c>
      <c r="F157" s="44"/>
      <c r="G157" s="43"/>
      <c r="H157" s="10"/>
      <c r="I157" s="45">
        <f>SUM(Q151:Q156)</f>
        <v>4993.54</v>
      </c>
      <c r="J157" s="10">
        <f>Source!BZ77</f>
        <v>90</v>
      </c>
      <c r="K157" s="45">
        <f>SUM(R151:R156)</f>
        <v>81858.43</v>
      </c>
    </row>
    <row r="158" spans="1:11" ht="14.25">
      <c r="A158" s="40"/>
      <c r="B158" s="41"/>
      <c r="C158" s="41" t="s">
        <v>560</v>
      </c>
      <c r="D158" s="42" t="s">
        <v>559</v>
      </c>
      <c r="E158" s="10">
        <f>Source!DO77</f>
        <v>70</v>
      </c>
      <c r="F158" s="44"/>
      <c r="G158" s="43"/>
      <c r="H158" s="10"/>
      <c r="I158" s="45">
        <f>SUM(S151:S157)</f>
        <v>3120.96</v>
      </c>
      <c r="J158" s="10">
        <f>Source!CA77</f>
        <v>43</v>
      </c>
      <c r="K158" s="45">
        <f>SUM(T151:T157)</f>
        <v>39110.14</v>
      </c>
    </row>
    <row r="159" spans="1:11" ht="14.25">
      <c r="A159" s="40"/>
      <c r="B159" s="41"/>
      <c r="C159" s="41" t="s">
        <v>561</v>
      </c>
      <c r="D159" s="42" t="s">
        <v>559</v>
      </c>
      <c r="E159" s="10">
        <f>175</f>
        <v>175</v>
      </c>
      <c r="F159" s="44"/>
      <c r="G159" s="43"/>
      <c r="H159" s="10"/>
      <c r="I159" s="45">
        <f>SUM(U151:U158)</f>
        <v>3892.05</v>
      </c>
      <c r="J159" s="10">
        <f>167</f>
        <v>167</v>
      </c>
      <c r="K159" s="45">
        <f>SUM(V151:V158)</f>
        <v>75768.13</v>
      </c>
    </row>
    <row r="160" spans="1:28" ht="14.25">
      <c r="A160" s="40"/>
      <c r="B160" s="41"/>
      <c r="C160" s="41" t="s">
        <v>562</v>
      </c>
      <c r="D160" s="42" t="s">
        <v>563</v>
      </c>
      <c r="E160" s="10">
        <f>Source!AQ77</f>
        <v>19</v>
      </c>
      <c r="F160" s="44"/>
      <c r="G160" s="43" t="str">
        <f>Source!DI77</f>
        <v>)*1,15</v>
      </c>
      <c r="H160" s="10">
        <f>Source!AV77</f>
        <v>1.067</v>
      </c>
      <c r="I160" s="45">
        <f>Source!U77</f>
        <v>361.5993644999999</v>
      </c>
      <c r="J160" s="10"/>
      <c r="K160" s="45"/>
      <c r="AB160" s="48">
        <f>I160</f>
        <v>361.5993644999999</v>
      </c>
    </row>
    <row r="161" spans="1:27" ht="15">
      <c r="A161" s="51"/>
      <c r="B161" s="51"/>
      <c r="C161" s="52" t="s">
        <v>564</v>
      </c>
      <c r="D161" s="51"/>
      <c r="E161" s="51"/>
      <c r="F161" s="51"/>
      <c r="G161" s="51"/>
      <c r="H161" s="53">
        <f>I153+I154+I156+I157+I158+I159</f>
        <v>29491.219999999998</v>
      </c>
      <c r="I161" s="53"/>
      <c r="J161" s="53">
        <f>K153+K154+K156+K157+K158+K159</f>
        <v>391485.59</v>
      </c>
      <c r="K161" s="53"/>
      <c r="O161" s="48">
        <f>H161</f>
        <v>29491.219999999998</v>
      </c>
      <c r="P161" s="48">
        <f>J161</f>
        <v>391485.59</v>
      </c>
      <c r="X161">
        <f>IF(Source!BI77&lt;=1,I153+I154+I156+I157+I158+I159-0,0)</f>
        <v>0</v>
      </c>
      <c r="Y161">
        <f>IF(Source!BI77=2,I153+I154+I156+I157+I158+I159-0,0)</f>
        <v>29491.219999999998</v>
      </c>
      <c r="Z161">
        <f>IF(Source!BI77=3,I153+I154+I156+I157+I158+I159-0,0)</f>
        <v>0</v>
      </c>
      <c r="AA161">
        <f>IF(Source!BI77=4,I153+I154+I156+I157+I158+I159,0)</f>
        <v>0</v>
      </c>
    </row>
    <row r="163" spans="1:22" ht="65.25">
      <c r="A163" s="40" t="str">
        <f>Source!E78</f>
        <v>11</v>
      </c>
      <c r="B163" s="41" t="s">
        <v>573</v>
      </c>
      <c r="C163" s="41" t="str">
        <f>Source!G78</f>
        <v>КАБЕЛИ ДО 35 КВ В ПРОЛОЖЕННЫХ ТРУБАХ, БЛОКАХ И КОРОБАХ, КАБЕЛЬ, МАССА 1 М: ДО 9 КГ</v>
      </c>
      <c r="D163" s="42" t="str">
        <f>Source!H78</f>
        <v>100 м</v>
      </c>
      <c r="E163" s="10">
        <f>Source!I78</f>
        <v>30.24</v>
      </c>
      <c r="F163" s="44"/>
      <c r="G163" s="43"/>
      <c r="H163" s="10"/>
      <c r="I163" s="45"/>
      <c r="J163" s="10"/>
      <c r="K163" s="45"/>
      <c r="Q163">
        <f>ROUND((Source!DN78/100)*ROUND((Source!AF78*Source!AV78)*Source!I78,2),2)</f>
        <v>16243.64</v>
      </c>
      <c r="R163">
        <f>Source!X78</f>
        <v>266279.63</v>
      </c>
      <c r="S163">
        <f>ROUND((Source!DO78/100)*ROUND((Source!AF78*Source!AV78)*Source!I78,2),2)</f>
        <v>10152.28</v>
      </c>
      <c r="T163">
        <f>Source!Y78</f>
        <v>127222.49</v>
      </c>
      <c r="U163">
        <f>ROUND((175/100)*ROUND((Source!AE78*Source!AV78)*Source!I78,2),2)</f>
        <v>3577.95</v>
      </c>
      <c r="V163">
        <f>ROUND((167/100)*ROUND(Source!CS78*Source!I78,2),2)</f>
        <v>69653.4</v>
      </c>
    </row>
    <row r="164" ht="12.75">
      <c r="C164" s="46" t="str">
        <f>"Объем: "&amp;Source!I78&amp;"=3024/"&amp;"100"</f>
        <v>Объем: 30,24=3024/100</v>
      </c>
    </row>
    <row r="165" spans="1:23" ht="14.25">
      <c r="A165" s="40"/>
      <c r="B165" s="41"/>
      <c r="C165" s="41" t="s">
        <v>554</v>
      </c>
      <c r="D165" s="42"/>
      <c r="E165" s="10"/>
      <c r="F165" s="44">
        <f>Source!AO78</f>
        <v>390.86</v>
      </c>
      <c r="G165" s="43" t="str">
        <f>Source!DG78</f>
        <v>)*1,15</v>
      </c>
      <c r="H165" s="10">
        <f>Source!AV78</f>
        <v>1.067</v>
      </c>
      <c r="I165" s="45">
        <f>ROUND((Source!AF78*Source!AV78)*Source!I78,2)</f>
        <v>14503.25</v>
      </c>
      <c r="J165" s="10">
        <f>IF(Source!BA78&lt;&gt;0,Source!BA78,1)</f>
        <v>20.4</v>
      </c>
      <c r="K165" s="45">
        <f>Source!S78</f>
        <v>295866.26</v>
      </c>
      <c r="W165">
        <f>ROUND((Source!AF78*Source!AV78)*Source!I78,2)</f>
        <v>14503.25</v>
      </c>
    </row>
    <row r="166" spans="1:11" ht="14.25">
      <c r="A166" s="40"/>
      <c r="B166" s="41"/>
      <c r="C166" s="41" t="s">
        <v>555</v>
      </c>
      <c r="D166" s="42"/>
      <c r="E166" s="10"/>
      <c r="F166" s="44">
        <f>Source!AM78</f>
        <v>240.21</v>
      </c>
      <c r="G166" s="43" t="str">
        <f>Source!DE78</f>
        <v>)*1,15</v>
      </c>
      <c r="H166" s="10">
        <f>Source!AV78</f>
        <v>1.067</v>
      </c>
      <c r="I166" s="45">
        <f>ROUND((((((Source!ET78*1.15))-((Source!EU78*1.15)))+Source!AE78)*Source!AV78)*Source!I78,2)</f>
        <v>8913.23</v>
      </c>
      <c r="J166" s="10">
        <f>IF(Source!BB78&lt;&gt;0,Source!BB78,1)</f>
        <v>8.85</v>
      </c>
      <c r="K166" s="45">
        <f>Source!Q78</f>
        <v>78882.09</v>
      </c>
    </row>
    <row r="167" spans="1:23" ht="14.25">
      <c r="A167" s="40"/>
      <c r="B167" s="41"/>
      <c r="C167" s="41" t="s">
        <v>556</v>
      </c>
      <c r="D167" s="42"/>
      <c r="E167" s="10"/>
      <c r="F167" s="44">
        <f>Source!AN78</f>
        <v>55.1</v>
      </c>
      <c r="G167" s="43" t="str">
        <f>Source!DF78</f>
        <v>)*1,15</v>
      </c>
      <c r="H167" s="10">
        <f>Source!AV78</f>
        <v>1.067</v>
      </c>
      <c r="I167" s="47">
        <f>ROUND((Source!AE78*Source!AV78)*Source!I78,2)</f>
        <v>2044.54</v>
      </c>
      <c r="J167" s="10">
        <f>IF(Source!BS78&lt;&gt;0,Source!BS78,1)</f>
        <v>20.4</v>
      </c>
      <c r="K167" s="47">
        <f>Source!R78</f>
        <v>41708.62</v>
      </c>
      <c r="W167">
        <f>ROUND((Source!AE78*Source!AV78)*Source!I78,2)</f>
        <v>2044.54</v>
      </c>
    </row>
    <row r="168" spans="1:11" ht="14.25">
      <c r="A168" s="40"/>
      <c r="B168" s="41"/>
      <c r="C168" s="41" t="s">
        <v>557</v>
      </c>
      <c r="D168" s="42"/>
      <c r="E168" s="10"/>
      <c r="F168" s="44">
        <f>Source!AL78</f>
        <v>37.1</v>
      </c>
      <c r="G168" s="43">
        <f>Source!DD78</f>
      </c>
      <c r="H168" s="10">
        <f>Source!AW78</f>
        <v>1.081</v>
      </c>
      <c r="I168" s="45">
        <f>ROUND((Source!AC78*Source!AW78)*Source!I78,2)</f>
        <v>1212.78</v>
      </c>
      <c r="J168" s="10">
        <f>IF(Source!BC78&lt;&gt;0,Source!BC78,1)</f>
        <v>5.23</v>
      </c>
      <c r="K168" s="45">
        <f>Source!P78</f>
        <v>6342.83</v>
      </c>
    </row>
    <row r="169" spans="1:11" ht="14.25">
      <c r="A169" s="40"/>
      <c r="B169" s="41"/>
      <c r="C169" s="41" t="s">
        <v>558</v>
      </c>
      <c r="D169" s="42" t="s">
        <v>559</v>
      </c>
      <c r="E169" s="10">
        <f>Source!DN78</f>
        <v>112</v>
      </c>
      <c r="F169" s="44"/>
      <c r="G169" s="43"/>
      <c r="H169" s="10"/>
      <c r="I169" s="45">
        <f>SUM(Q163:Q168)</f>
        <v>16243.64</v>
      </c>
      <c r="J169" s="10">
        <f>Source!BZ78</f>
        <v>90</v>
      </c>
      <c r="K169" s="45">
        <f>SUM(R163:R168)</f>
        <v>266279.63</v>
      </c>
    </row>
    <row r="170" spans="1:11" ht="14.25">
      <c r="A170" s="40"/>
      <c r="B170" s="41"/>
      <c r="C170" s="41" t="s">
        <v>560</v>
      </c>
      <c r="D170" s="42" t="s">
        <v>559</v>
      </c>
      <c r="E170" s="10">
        <f>Source!DO78</f>
        <v>70</v>
      </c>
      <c r="F170" s="44"/>
      <c r="G170" s="43"/>
      <c r="H170" s="10"/>
      <c r="I170" s="45">
        <f>SUM(S163:S169)</f>
        <v>10152.28</v>
      </c>
      <c r="J170" s="10">
        <f>Source!CA78</f>
        <v>43</v>
      </c>
      <c r="K170" s="45">
        <f>SUM(T163:T169)</f>
        <v>127222.49</v>
      </c>
    </row>
    <row r="171" spans="1:11" ht="14.25">
      <c r="A171" s="40"/>
      <c r="B171" s="41"/>
      <c r="C171" s="41" t="s">
        <v>561</v>
      </c>
      <c r="D171" s="42" t="s">
        <v>559</v>
      </c>
      <c r="E171" s="10">
        <f>175</f>
        <v>175</v>
      </c>
      <c r="F171" s="44"/>
      <c r="G171" s="43"/>
      <c r="H171" s="10"/>
      <c r="I171" s="45">
        <f>SUM(U163:U170)</f>
        <v>3577.95</v>
      </c>
      <c r="J171" s="10">
        <f>167</f>
        <v>167</v>
      </c>
      <c r="K171" s="45">
        <f>SUM(V163:V170)</f>
        <v>69653.4</v>
      </c>
    </row>
    <row r="172" spans="1:28" ht="14.25">
      <c r="A172" s="40"/>
      <c r="B172" s="41"/>
      <c r="C172" s="41" t="s">
        <v>562</v>
      </c>
      <c r="D172" s="42" t="s">
        <v>563</v>
      </c>
      <c r="E172" s="10">
        <f>Source!AQ78</f>
        <v>31.7</v>
      </c>
      <c r="F172" s="44"/>
      <c r="G172" s="43" t="str">
        <f>Source!DI78</f>
        <v>)*1,15</v>
      </c>
      <c r="H172" s="10">
        <f>Source!AV78</f>
        <v>1.067</v>
      </c>
      <c r="I172" s="45">
        <f>Source!U78</f>
        <v>1176.2599463999998</v>
      </c>
      <c r="J172" s="10"/>
      <c r="K172" s="45"/>
      <c r="AB172" s="48">
        <f>I172</f>
        <v>1176.2599463999998</v>
      </c>
    </row>
    <row r="173" spans="1:27" ht="15">
      <c r="A173" s="51"/>
      <c r="B173" s="51"/>
      <c r="C173" s="52" t="s">
        <v>564</v>
      </c>
      <c r="D173" s="51"/>
      <c r="E173" s="51"/>
      <c r="F173" s="51"/>
      <c r="G173" s="51"/>
      <c r="H173" s="53">
        <f>I165+I166+I168+I169+I170+I171</f>
        <v>54603.12999999999</v>
      </c>
      <c r="I173" s="53"/>
      <c r="J173" s="53">
        <f>K165+K166+K168+K169+K170+K171</f>
        <v>844246.7000000001</v>
      </c>
      <c r="K173" s="53"/>
      <c r="O173" s="48">
        <f>H173</f>
        <v>54603.12999999999</v>
      </c>
      <c r="P173" s="48">
        <f>J173</f>
        <v>844246.7000000001</v>
      </c>
      <c r="X173">
        <f>IF(Source!BI78&lt;=1,I165+I166+I168+I169+I170+I171-0,0)</f>
        <v>0</v>
      </c>
      <c r="Y173">
        <f>IF(Source!BI78=2,I165+I166+I168+I169+I170+I171-0,0)</f>
        <v>54603.12999999999</v>
      </c>
      <c r="Z173">
        <f>IF(Source!BI78=3,I165+I166+I168+I169+I170+I171-0,0)</f>
        <v>0</v>
      </c>
      <c r="AA173">
        <f>IF(Source!BI78=4,I165+I166+I168+I169+I170+I171,0)</f>
        <v>0</v>
      </c>
    </row>
    <row r="175" spans="1:22" ht="85.5">
      <c r="A175" s="40" t="str">
        <f>Source!E79</f>
        <v>12</v>
      </c>
      <c r="B175" s="41" t="s">
        <v>574</v>
      </c>
      <c r="C175" s="41" t="str">
        <f>Source!G79</f>
        <v>КАБЕЛИ ДО 35 КВ, ПРОКЛАДЫВАЕМЫЕ ПО УСТАНОВЛЕННЫМ КОНСТРУКЦИЯМ И ЛОТКАМ, КАБЕЛЬ С КРЕПЛЕНИЕМ ПО ВСЕЙ ДЛИНЕ, МАССА 1 М: ДО 9 КГ</v>
      </c>
      <c r="D175" s="42" t="str">
        <f>Source!H79</f>
        <v>100 м</v>
      </c>
      <c r="E175" s="10">
        <f>Source!I79</f>
        <v>0.45</v>
      </c>
      <c r="F175" s="44"/>
      <c r="G175" s="43"/>
      <c r="H175" s="10"/>
      <c r="I175" s="45"/>
      <c r="J175" s="10"/>
      <c r="K175" s="45"/>
      <c r="Q175">
        <f>ROUND((Source!DN79/100)*ROUND((Source!AF79*Source!AV79)*Source!I79,2),2)</f>
        <v>323.31</v>
      </c>
      <c r="R175">
        <f>Source!X79</f>
        <v>5299.98</v>
      </c>
      <c r="S175">
        <f>ROUND((Source!DO79/100)*ROUND((Source!AF79*Source!AV79)*Source!I79,2),2)</f>
        <v>202.07</v>
      </c>
      <c r="T175">
        <f>Source!Y79</f>
        <v>2532.21</v>
      </c>
      <c r="U175">
        <f>ROUND((175/100)*ROUND((Source!AE79*Source!AV79)*Source!I79,2),2)</f>
        <v>192.45</v>
      </c>
      <c r="V175">
        <f>ROUND((167/100)*ROUND(Source!CS79*Source!I79,2),2)</f>
        <v>3746.48</v>
      </c>
    </row>
    <row r="176" ht="12.75">
      <c r="C176" s="46" t="str">
        <f>"Объем: "&amp;Source!I79&amp;"=45/"&amp;"100"</f>
        <v>Объем: 0,45=45/100</v>
      </c>
    </row>
    <row r="177" spans="1:23" ht="14.25">
      <c r="A177" s="40"/>
      <c r="B177" s="41"/>
      <c r="C177" s="41" t="s">
        <v>554</v>
      </c>
      <c r="D177" s="42"/>
      <c r="E177" s="10"/>
      <c r="F177" s="44">
        <f>Source!AO79</f>
        <v>522.79</v>
      </c>
      <c r="G177" s="43" t="str">
        <f>Source!DG79</f>
        <v>)*1,15</v>
      </c>
      <c r="H177" s="10">
        <f>Source!AV79</f>
        <v>1.067</v>
      </c>
      <c r="I177" s="45">
        <f>ROUND((Source!AF79*Source!AV79)*Source!I79,2)</f>
        <v>288.67</v>
      </c>
      <c r="J177" s="10">
        <f>IF(Source!BA79&lt;&gt;0,Source!BA79,1)</f>
        <v>20.4</v>
      </c>
      <c r="K177" s="45">
        <f>Source!S79</f>
        <v>5888.87</v>
      </c>
      <c r="W177">
        <f>ROUND((Source!AF79*Source!AV79)*Source!I79,2)</f>
        <v>288.67</v>
      </c>
    </row>
    <row r="178" spans="1:11" ht="14.25">
      <c r="A178" s="40"/>
      <c r="B178" s="41"/>
      <c r="C178" s="41" t="s">
        <v>555</v>
      </c>
      <c r="D178" s="42"/>
      <c r="E178" s="10"/>
      <c r="F178" s="44">
        <f>Source!AM79</f>
        <v>1223.71</v>
      </c>
      <c r="G178" s="43" t="str">
        <f>Source!DE79</f>
        <v>)*1,15</v>
      </c>
      <c r="H178" s="10">
        <f>Source!AV79</f>
        <v>1.067</v>
      </c>
      <c r="I178" s="45">
        <f>ROUND((((((Source!ET79*1.15))-((Source!EU79*1.15)))+Source!AE79)*Source!AV79)*Source!I79,2)</f>
        <v>675.7</v>
      </c>
      <c r="J178" s="10">
        <f>IF(Source!BB79&lt;&gt;0,Source!BB79,1)</f>
        <v>7.85</v>
      </c>
      <c r="K178" s="45">
        <f>Source!Q79</f>
        <v>5304.24</v>
      </c>
    </row>
    <row r="179" spans="1:23" ht="14.25">
      <c r="A179" s="40"/>
      <c r="B179" s="41"/>
      <c r="C179" s="41" t="s">
        <v>556</v>
      </c>
      <c r="D179" s="42"/>
      <c r="E179" s="10"/>
      <c r="F179" s="44">
        <f>Source!AN79</f>
        <v>199.16</v>
      </c>
      <c r="G179" s="43" t="str">
        <f>Source!DF79</f>
        <v>)*1,15</v>
      </c>
      <c r="H179" s="10">
        <f>Source!AV79</f>
        <v>1.067</v>
      </c>
      <c r="I179" s="47">
        <f>ROUND((Source!AE79*Source!AV79)*Source!I79,2)</f>
        <v>109.97</v>
      </c>
      <c r="J179" s="10">
        <f>IF(Source!BS79&lt;&gt;0,Source!BS79,1)</f>
        <v>20.4</v>
      </c>
      <c r="K179" s="47">
        <f>Source!R79</f>
        <v>2243.4</v>
      </c>
      <c r="W179">
        <f>ROUND((Source!AE79*Source!AV79)*Source!I79,2)</f>
        <v>109.97</v>
      </c>
    </row>
    <row r="180" spans="1:11" ht="14.25">
      <c r="A180" s="40"/>
      <c r="B180" s="41"/>
      <c r="C180" s="41" t="s">
        <v>557</v>
      </c>
      <c r="D180" s="42"/>
      <c r="E180" s="10"/>
      <c r="F180" s="44">
        <f>Source!AL79</f>
        <v>40.6</v>
      </c>
      <c r="G180" s="43">
        <f>Source!DD79</f>
      </c>
      <c r="H180" s="10">
        <f>Source!AW79</f>
        <v>1.081</v>
      </c>
      <c r="I180" s="45">
        <f>ROUND((Source!AC79*Source!AW79)*Source!I79,2)</f>
        <v>19.75</v>
      </c>
      <c r="J180" s="10">
        <f>IF(Source!BC79&lt;&gt;0,Source!BC79,1)</f>
        <v>5.23</v>
      </c>
      <c r="K180" s="45">
        <f>Source!P79</f>
        <v>103.29</v>
      </c>
    </row>
    <row r="181" spans="1:11" ht="14.25">
      <c r="A181" s="40"/>
      <c r="B181" s="41"/>
      <c r="C181" s="41" t="s">
        <v>558</v>
      </c>
      <c r="D181" s="42" t="s">
        <v>559</v>
      </c>
      <c r="E181" s="10">
        <f>Source!DN79</f>
        <v>112</v>
      </c>
      <c r="F181" s="44"/>
      <c r="G181" s="43"/>
      <c r="H181" s="10"/>
      <c r="I181" s="45">
        <f>SUM(Q175:Q180)</f>
        <v>323.31</v>
      </c>
      <c r="J181" s="10">
        <f>Source!BZ79</f>
        <v>90</v>
      </c>
      <c r="K181" s="45">
        <f>SUM(R175:R180)</f>
        <v>5299.98</v>
      </c>
    </row>
    <row r="182" spans="1:11" ht="14.25">
      <c r="A182" s="40"/>
      <c r="B182" s="41"/>
      <c r="C182" s="41" t="s">
        <v>560</v>
      </c>
      <c r="D182" s="42" t="s">
        <v>559</v>
      </c>
      <c r="E182" s="10">
        <f>Source!DO79</f>
        <v>70</v>
      </c>
      <c r="F182" s="44"/>
      <c r="G182" s="43"/>
      <c r="H182" s="10"/>
      <c r="I182" s="45">
        <f>SUM(S175:S181)</f>
        <v>202.07</v>
      </c>
      <c r="J182" s="10">
        <f>Source!CA79</f>
        <v>43</v>
      </c>
      <c r="K182" s="45">
        <f>SUM(T175:T181)</f>
        <v>2532.21</v>
      </c>
    </row>
    <row r="183" spans="1:11" ht="14.25">
      <c r="A183" s="40"/>
      <c r="B183" s="41"/>
      <c r="C183" s="41" t="s">
        <v>561</v>
      </c>
      <c r="D183" s="42" t="s">
        <v>559</v>
      </c>
      <c r="E183" s="10">
        <f>175</f>
        <v>175</v>
      </c>
      <c r="F183" s="44"/>
      <c r="G183" s="43"/>
      <c r="H183" s="10"/>
      <c r="I183" s="45">
        <f>SUM(U175:U182)</f>
        <v>192.45</v>
      </c>
      <c r="J183" s="10">
        <f>167</f>
        <v>167</v>
      </c>
      <c r="K183" s="45">
        <f>SUM(V175:V182)</f>
        <v>3746.48</v>
      </c>
    </row>
    <row r="184" spans="1:28" ht="14.25">
      <c r="A184" s="40"/>
      <c r="B184" s="41"/>
      <c r="C184" s="41" t="s">
        <v>562</v>
      </c>
      <c r="D184" s="42" t="s">
        <v>563</v>
      </c>
      <c r="E184" s="10">
        <f>Source!AQ79</f>
        <v>42.4</v>
      </c>
      <c r="F184" s="44"/>
      <c r="G184" s="43" t="str">
        <f>Source!DI79</f>
        <v>)*1,15</v>
      </c>
      <c r="H184" s="10">
        <f>Source!AV79</f>
        <v>1.067</v>
      </c>
      <c r="I184" s="45">
        <f>Source!U79</f>
        <v>23.412114</v>
      </c>
      <c r="J184" s="10"/>
      <c r="K184" s="45"/>
      <c r="AB184" s="48">
        <f>I184</f>
        <v>23.412114</v>
      </c>
    </row>
    <row r="185" spans="1:27" ht="15">
      <c r="A185" s="51"/>
      <c r="B185" s="51"/>
      <c r="C185" s="52" t="s">
        <v>564</v>
      </c>
      <c r="D185" s="51"/>
      <c r="E185" s="51"/>
      <c r="F185" s="51"/>
      <c r="G185" s="51"/>
      <c r="H185" s="53">
        <f>I177+I178+I180+I181+I182+I183</f>
        <v>1701.95</v>
      </c>
      <c r="I185" s="53"/>
      <c r="J185" s="53">
        <f>K177+K178+K180+K181+K182+K183</f>
        <v>22875.07</v>
      </c>
      <c r="K185" s="53"/>
      <c r="O185" s="48">
        <f>H185</f>
        <v>1701.95</v>
      </c>
      <c r="P185" s="48">
        <f>J185</f>
        <v>22875.07</v>
      </c>
      <c r="X185">
        <f>IF(Source!BI79&lt;=1,I177+I178+I180+I181+I182+I183-0,0)</f>
        <v>0</v>
      </c>
      <c r="Y185">
        <f>IF(Source!BI79=2,I177+I178+I180+I181+I182+I183-0,0)</f>
        <v>1701.95</v>
      </c>
      <c r="Z185">
        <f>IF(Source!BI79=3,I177+I178+I180+I181+I182+I183-0,0)</f>
        <v>0</v>
      </c>
      <c r="AA185">
        <f>IF(Source!BI79=4,I177+I178+I180+I181+I182+I183,0)</f>
        <v>0</v>
      </c>
    </row>
    <row r="187" spans="1:22" ht="39.75">
      <c r="A187" s="40" t="str">
        <f>Source!E80</f>
        <v>13</v>
      </c>
      <c r="B187" s="41" t="str">
        <f>Source!F80</f>
        <v>прайс</v>
      </c>
      <c r="C187" s="41" t="s">
        <v>575</v>
      </c>
      <c r="D187" s="42" t="str">
        <f>Source!H80</f>
        <v>м</v>
      </c>
      <c r="E187" s="10">
        <f>Source!I80</f>
        <v>4712</v>
      </c>
      <c r="F187" s="44">
        <f>Source!AL80</f>
        <v>1030.51</v>
      </c>
      <c r="G187" s="43">
        <f>Source!DD80</f>
      </c>
      <c r="H187" s="10">
        <f>Source!AW80</f>
        <v>1</v>
      </c>
      <c r="I187" s="45">
        <f>ROUND((Source!AC80*Source!AW80)*Source!I80,2)</f>
        <v>4855763.12</v>
      </c>
      <c r="J187" s="10">
        <f>IF(Source!BC80&lt;&gt;0,Source!BC80,1)</f>
        <v>1</v>
      </c>
      <c r="K187" s="45">
        <f>Source!P80</f>
        <v>4855763.12</v>
      </c>
      <c r="Q187">
        <f>ROUND((Source!DN80/100)*ROUND((Source!AF80*Source!AV80)*Source!I80,2),2)</f>
        <v>0</v>
      </c>
      <c r="R187">
        <f>Source!X80</f>
        <v>0</v>
      </c>
      <c r="S187">
        <f>ROUND((Source!DO80/100)*ROUND((Source!AF80*Source!AV80)*Source!I80,2),2)</f>
        <v>0</v>
      </c>
      <c r="T187">
        <f>Source!Y80</f>
        <v>0</v>
      </c>
      <c r="U187">
        <f>ROUND((175/100)*ROUND((Source!AE80*Source!AV80)*Source!I80,2),2)</f>
        <v>0</v>
      </c>
      <c r="V187">
        <f>ROUND((167/100)*ROUND(Source!CS80*Source!I80,2),2)</f>
        <v>0</v>
      </c>
    </row>
    <row r="188" spans="1:27" ht="15">
      <c r="A188" s="51"/>
      <c r="B188" s="51"/>
      <c r="C188" s="52" t="s">
        <v>564</v>
      </c>
      <c r="D188" s="51"/>
      <c r="E188" s="51"/>
      <c r="F188" s="51"/>
      <c r="G188" s="51"/>
      <c r="H188" s="53">
        <f>I187</f>
        <v>4855763.12</v>
      </c>
      <c r="I188" s="53"/>
      <c r="J188" s="53">
        <f>K187</f>
        <v>4855763.12</v>
      </c>
      <c r="K188" s="53"/>
      <c r="O188" s="48">
        <f>H188</f>
        <v>4855763.12</v>
      </c>
      <c r="P188" s="48">
        <f>J188</f>
        <v>4855763.12</v>
      </c>
      <c r="X188">
        <f>IF(Source!BI80&lt;=1,I187-0,0)</f>
        <v>4855763.12</v>
      </c>
      <c r="Y188">
        <f>IF(Source!BI80=2,I187-0,0)</f>
        <v>0</v>
      </c>
      <c r="Z188">
        <f>IF(Source!BI80=3,I187-0,0)</f>
        <v>0</v>
      </c>
      <c r="AA188">
        <f>IF(Source!BI80=4,I187,0)</f>
        <v>0</v>
      </c>
    </row>
    <row r="190" spans="1:22" ht="85.5">
      <c r="A190" s="40" t="str">
        <f>Source!E81</f>
        <v>14</v>
      </c>
      <c r="B190" s="41" t="s">
        <v>576</v>
      </c>
      <c r="C190" s="41" t="str">
        <f>Source!G81</f>
        <v>МУФТЫ КОНЦЕВЫЕ ДЛЯ ОДНОЖИЛЬНОГО ЭКРАНИРОВАННОГО КАБЕЛЯ С ИЗОЛЯЦИЕЙ ИЗ СШИТОГО ПОЛИЭТИЛЕНА, НАПРЯЖЕНИЕМ ДО 35 КВ</v>
      </c>
      <c r="D190" s="42" t="str">
        <f>Source!H81</f>
        <v>ШТ</v>
      </c>
      <c r="E190" s="10">
        <f>Source!I81</f>
        <v>2</v>
      </c>
      <c r="F190" s="44"/>
      <c r="G190" s="43"/>
      <c r="H190" s="10"/>
      <c r="I190" s="45"/>
      <c r="J190" s="10"/>
      <c r="K190" s="45"/>
      <c r="Q190">
        <f>ROUND((Source!DN81/100)*ROUND((Source!AF81*Source!AV81)*Source!I81,2),2)</f>
        <v>596.51</v>
      </c>
      <c r="R190">
        <f>Source!X81</f>
        <v>9778.53</v>
      </c>
      <c r="S190">
        <f>ROUND((Source!DO81/100)*ROUND((Source!AF81*Source!AV81)*Source!I81,2),2)</f>
        <v>372.82</v>
      </c>
      <c r="T190">
        <f>Source!Y81</f>
        <v>4671.96</v>
      </c>
      <c r="U190">
        <f>ROUND((175/100)*ROUND((Source!AE81*Source!AV81)*Source!I81,2),2)</f>
        <v>22.84</v>
      </c>
      <c r="V190">
        <f>ROUND((167/100)*ROUND(Source!CS81*Source!I81,2),2)</f>
        <v>444.65</v>
      </c>
    </row>
    <row r="191" spans="1:23" ht="14.25">
      <c r="A191" s="40"/>
      <c r="B191" s="41"/>
      <c r="C191" s="41" t="s">
        <v>554</v>
      </c>
      <c r="D191" s="42"/>
      <c r="E191" s="10"/>
      <c r="F191" s="44">
        <f>Source!AO81</f>
        <v>221.17</v>
      </c>
      <c r="G191" s="43" t="str">
        <f>Source!DG81</f>
        <v>)*1,15</v>
      </c>
      <c r="H191" s="10">
        <f>Source!AV81</f>
        <v>1.047</v>
      </c>
      <c r="I191" s="45">
        <f>ROUND((Source!AF81*Source!AV81)*Source!I81,2)</f>
        <v>532.6</v>
      </c>
      <c r="J191" s="10">
        <f>IF(Source!BA81&lt;&gt;0,Source!BA81,1)</f>
        <v>20.4</v>
      </c>
      <c r="K191" s="45">
        <f>Source!S81</f>
        <v>10865.03</v>
      </c>
      <c r="W191">
        <f>ROUND((Source!AF81*Source!AV81)*Source!I81,2)</f>
        <v>532.6</v>
      </c>
    </row>
    <row r="192" spans="1:11" ht="14.25">
      <c r="A192" s="40"/>
      <c r="B192" s="41"/>
      <c r="C192" s="41" t="s">
        <v>555</v>
      </c>
      <c r="D192" s="42"/>
      <c r="E192" s="10"/>
      <c r="F192" s="44">
        <f>Source!AM81</f>
        <v>61.84</v>
      </c>
      <c r="G192" s="43" t="str">
        <f>Source!DE81</f>
        <v>)*1,15</v>
      </c>
      <c r="H192" s="10">
        <f>Source!AV81</f>
        <v>1.047</v>
      </c>
      <c r="I192" s="45">
        <f>ROUND((((((Source!ET81*1.15))-((Source!EU81*1.15)))+Source!AE81)*Source!AV81)*Source!I81,2)</f>
        <v>148.92</v>
      </c>
      <c r="J192" s="10">
        <f>IF(Source!BB81&lt;&gt;0,Source!BB81,1)</f>
        <v>6.72</v>
      </c>
      <c r="K192" s="45">
        <f>Source!Q81</f>
        <v>1000.72</v>
      </c>
    </row>
    <row r="193" spans="1:23" ht="14.25">
      <c r="A193" s="40"/>
      <c r="B193" s="41"/>
      <c r="C193" s="41" t="s">
        <v>556</v>
      </c>
      <c r="D193" s="42"/>
      <c r="E193" s="10"/>
      <c r="F193" s="44">
        <f>Source!AN81</f>
        <v>5.42</v>
      </c>
      <c r="G193" s="43" t="str">
        <f>Source!DF81</f>
        <v>)*1,15</v>
      </c>
      <c r="H193" s="10">
        <f>Source!AV81</f>
        <v>1.047</v>
      </c>
      <c r="I193" s="47">
        <f>ROUND((Source!AE81*Source!AV81)*Source!I81,2)</f>
        <v>13.05</v>
      </c>
      <c r="J193" s="10">
        <f>IF(Source!BS81&lt;&gt;0,Source!BS81,1)</f>
        <v>20.4</v>
      </c>
      <c r="K193" s="47">
        <f>Source!R81</f>
        <v>266.26</v>
      </c>
      <c r="W193">
        <f>ROUND((Source!AE81*Source!AV81)*Source!I81,2)</f>
        <v>13.05</v>
      </c>
    </row>
    <row r="194" spans="1:11" ht="14.25">
      <c r="A194" s="40"/>
      <c r="B194" s="41"/>
      <c r="C194" s="41" t="s">
        <v>557</v>
      </c>
      <c r="D194" s="42"/>
      <c r="E194" s="10"/>
      <c r="F194" s="44">
        <f>Source!AL81</f>
        <v>55.26</v>
      </c>
      <c r="G194" s="43">
        <f>Source!DD81</f>
      </c>
      <c r="H194" s="10">
        <f>Source!AW81</f>
        <v>1</v>
      </c>
      <c r="I194" s="45">
        <f>ROUND((Source!AC81*Source!AW81)*Source!I81,2)</f>
        <v>110.52</v>
      </c>
      <c r="J194" s="10">
        <f>IF(Source!BC81&lt;&gt;0,Source!BC81,1)</f>
        <v>5.23</v>
      </c>
      <c r="K194" s="45">
        <f>Source!P81</f>
        <v>578.02</v>
      </c>
    </row>
    <row r="195" spans="1:27" ht="54">
      <c r="A195" s="40" t="str">
        <f>Source!E82</f>
        <v>14,1</v>
      </c>
      <c r="B195" s="41" t="str">
        <f>Source!F82</f>
        <v>прайс</v>
      </c>
      <c r="C195" s="41" t="s">
        <v>577</v>
      </c>
      <c r="D195" s="42" t="str">
        <f>Source!H82</f>
        <v>ШТ</v>
      </c>
      <c r="E195" s="10">
        <f>Source!I82</f>
        <v>2</v>
      </c>
      <c r="F195" s="44">
        <f>Source!AK82</f>
        <v>18970.34</v>
      </c>
      <c r="G195" s="54" t="s">
        <v>6</v>
      </c>
      <c r="H195" s="10">
        <f>Source!AW82</f>
        <v>1</v>
      </c>
      <c r="I195" s="45">
        <f>ROUND((Source!AC82*Source!AW82)*Source!I82,2)+ROUND(((((Source!ET82)-(Source!EU82))+Source!AE82)*Source!AV82)*Source!I82,2)+ROUND((Source!AF82*Source!AV82)*Source!I82,2)</f>
        <v>37940.68</v>
      </c>
      <c r="J195" s="10">
        <f>IF(Source!BC82&lt;&gt;0,Source!BC82,1)</f>
        <v>1</v>
      </c>
      <c r="K195" s="45">
        <f>Source!O82</f>
        <v>37940.68</v>
      </c>
      <c r="Q195">
        <f>ROUND((Source!DN82/100)*ROUND((Source!AF82*Source!AV82)*Source!I82,2),2)</f>
        <v>0</v>
      </c>
      <c r="R195">
        <f>Source!X82</f>
        <v>0</v>
      </c>
      <c r="S195">
        <f>ROUND((Source!DO82/100)*ROUND((Source!AF82*Source!AV82)*Source!I82,2),2)</f>
        <v>0</v>
      </c>
      <c r="T195">
        <f>Source!Y82</f>
        <v>0</v>
      </c>
      <c r="U195">
        <f>ROUND((175/100)*ROUND((Source!AE82*Source!AV82)*Source!I82,2),2)</f>
        <v>0</v>
      </c>
      <c r="V195">
        <f>ROUND((167/100)*ROUND(Source!CS82*Source!I82,2),2)</f>
        <v>0</v>
      </c>
      <c r="X195">
        <f>IF(Source!BI82&lt;=1,I195,0)</f>
        <v>0</v>
      </c>
      <c r="Y195">
        <f>IF(Source!BI82=2,I195,0)</f>
        <v>37940.68</v>
      </c>
      <c r="Z195">
        <f>IF(Source!BI82=3,I195,0)</f>
        <v>0</v>
      </c>
      <c r="AA195">
        <f>IF(Source!BI82=4,I195,0)</f>
        <v>0</v>
      </c>
    </row>
    <row r="196" spans="1:11" ht="14.25">
      <c r="A196" s="40"/>
      <c r="B196" s="41"/>
      <c r="C196" s="41" t="s">
        <v>558</v>
      </c>
      <c r="D196" s="42" t="s">
        <v>559</v>
      </c>
      <c r="E196" s="10">
        <f>Source!DN81</f>
        <v>112</v>
      </c>
      <c r="F196" s="44"/>
      <c r="G196" s="43"/>
      <c r="H196" s="10"/>
      <c r="I196" s="45">
        <f>SUM(Q190:Q195)</f>
        <v>596.51</v>
      </c>
      <c r="J196" s="10">
        <f>Source!BZ81</f>
        <v>90</v>
      </c>
      <c r="K196" s="45">
        <f>SUM(R190:R195)</f>
        <v>9778.53</v>
      </c>
    </row>
    <row r="197" spans="1:11" ht="14.25">
      <c r="A197" s="40"/>
      <c r="B197" s="41"/>
      <c r="C197" s="41" t="s">
        <v>560</v>
      </c>
      <c r="D197" s="42" t="s">
        <v>559</v>
      </c>
      <c r="E197" s="10">
        <f>Source!DO81</f>
        <v>70</v>
      </c>
      <c r="F197" s="44"/>
      <c r="G197" s="43"/>
      <c r="H197" s="10"/>
      <c r="I197" s="45">
        <f>SUM(S190:S196)</f>
        <v>372.82</v>
      </c>
      <c r="J197" s="10">
        <f>Source!CA81</f>
        <v>43</v>
      </c>
      <c r="K197" s="45">
        <f>SUM(T190:T196)</f>
        <v>4671.96</v>
      </c>
    </row>
    <row r="198" spans="1:11" ht="14.25">
      <c r="A198" s="40"/>
      <c r="B198" s="41"/>
      <c r="C198" s="41" t="s">
        <v>561</v>
      </c>
      <c r="D198" s="42" t="s">
        <v>559</v>
      </c>
      <c r="E198" s="10">
        <f>175</f>
        <v>175</v>
      </c>
      <c r="F198" s="44"/>
      <c r="G198" s="43"/>
      <c r="H198" s="10"/>
      <c r="I198" s="45">
        <f>SUM(U190:U197)</f>
        <v>22.84</v>
      </c>
      <c r="J198" s="10">
        <f>167</f>
        <v>167</v>
      </c>
      <c r="K198" s="45">
        <f>SUM(V190:V197)</f>
        <v>444.65</v>
      </c>
    </row>
    <row r="199" spans="1:28" ht="14.25">
      <c r="A199" s="40"/>
      <c r="B199" s="41"/>
      <c r="C199" s="41" t="s">
        <v>562</v>
      </c>
      <c r="D199" s="42" t="s">
        <v>563</v>
      </c>
      <c r="E199" s="10">
        <f>Source!AQ81</f>
        <v>16.74</v>
      </c>
      <c r="F199" s="44"/>
      <c r="G199" s="43" t="str">
        <f>Source!DI81</f>
        <v>)*1,15</v>
      </c>
      <c r="H199" s="10">
        <f>Source!AV81</f>
        <v>1.047</v>
      </c>
      <c r="I199" s="45">
        <f>Source!U81</f>
        <v>40.31159399999999</v>
      </c>
      <c r="J199" s="10"/>
      <c r="K199" s="45"/>
      <c r="AB199" s="48">
        <f>I199</f>
        <v>40.31159399999999</v>
      </c>
    </row>
    <row r="200" spans="1:27" ht="15">
      <c r="A200" s="51"/>
      <c r="B200" s="51"/>
      <c r="C200" s="52" t="s">
        <v>564</v>
      </c>
      <c r="D200" s="51"/>
      <c r="E200" s="51"/>
      <c r="F200" s="51"/>
      <c r="G200" s="51"/>
      <c r="H200" s="53">
        <f>I191+I192+I194+I196+I197+I198+SUM(I195:I195)</f>
        <v>39724.89</v>
      </c>
      <c r="I200" s="53"/>
      <c r="J200" s="53">
        <f>K191+K192+K194+K196+K197+K198+SUM(K195:K195)</f>
        <v>65279.590000000004</v>
      </c>
      <c r="K200" s="53"/>
      <c r="O200" s="48">
        <f>H200</f>
        <v>39724.89</v>
      </c>
      <c r="P200" s="48">
        <f>J200</f>
        <v>65279.590000000004</v>
      </c>
      <c r="X200">
        <f>IF(Source!BI81&lt;=1,I191+I192+I194+I196+I197+I198-0,0)</f>
        <v>0</v>
      </c>
      <c r="Y200">
        <f>IF(Source!BI81=2,I191+I192+I194+I196+I197+I198-0,0)</f>
        <v>1784.2099999999998</v>
      </c>
      <c r="Z200">
        <f>IF(Source!BI81=3,I191+I192+I194+I196+I197+I198-0,0)</f>
        <v>0</v>
      </c>
      <c r="AA200">
        <f>IF(Source!BI81=4,I191+I192+I194+I196+I197+I198,0)</f>
        <v>0</v>
      </c>
    </row>
    <row r="202" spans="1:22" ht="85.5">
      <c r="A202" s="40" t="str">
        <f>Source!E83</f>
        <v>15</v>
      </c>
      <c r="B202" s="41" t="s">
        <v>578</v>
      </c>
      <c r="C202" s="41" t="str">
        <f>Source!G83</f>
        <v>МУФТЫ СОЕДИНИТЕЛЬНЫЕ ДЛЯ ОДНОЖИЛЬНОГО ЭКРАНИРОВАННОГО КАБЕЛЯ С ИЗОЛЯЦИЕЙ ИЗ СШИТОГО ПОЛИЭТИЛЕНА, НАПРЯЖЕНИЕМ ДО 35 КВ</v>
      </c>
      <c r="D202" s="42" t="str">
        <f>Source!H83</f>
        <v>ШТ</v>
      </c>
      <c r="E202" s="10">
        <f>Source!I83</f>
        <v>12</v>
      </c>
      <c r="F202" s="44"/>
      <c r="G202" s="43"/>
      <c r="H202" s="10"/>
      <c r="I202" s="45"/>
      <c r="J202" s="10"/>
      <c r="K202" s="45"/>
      <c r="Q202">
        <f>ROUND((Source!DN83/100)*ROUND((Source!AF83*Source!AV83)*Source!I83,2),2)</f>
        <v>3434.56</v>
      </c>
      <c r="R202">
        <f>Source!X83</f>
        <v>56302.25</v>
      </c>
      <c r="S202">
        <f>ROUND((Source!DO83/100)*ROUND((Source!AF83*Source!AV83)*Source!I83,2),2)</f>
        <v>2146.6</v>
      </c>
      <c r="T202">
        <f>Source!Y83</f>
        <v>26899.96</v>
      </c>
      <c r="U202">
        <f>ROUND((175/100)*ROUND((Source!AE83*Source!AV83)*Source!I83,2),2)</f>
        <v>119.09</v>
      </c>
      <c r="V202">
        <f>ROUND((167/100)*ROUND(Source!CS83*Source!I83,2),2)</f>
        <v>2318.43</v>
      </c>
    </row>
    <row r="203" spans="1:23" ht="14.25">
      <c r="A203" s="40"/>
      <c r="B203" s="41"/>
      <c r="C203" s="41" t="s">
        <v>554</v>
      </c>
      <c r="D203" s="42"/>
      <c r="E203" s="10"/>
      <c r="F203" s="44">
        <f>Source!AO83</f>
        <v>212.24</v>
      </c>
      <c r="G203" s="43" t="str">
        <f>Source!DG83</f>
        <v>)*1,15</v>
      </c>
      <c r="H203" s="10">
        <f>Source!AV83</f>
        <v>1.047</v>
      </c>
      <c r="I203" s="45">
        <f>ROUND((Source!AF83*Source!AV83)*Source!I83,2)</f>
        <v>3066.57</v>
      </c>
      <c r="J203" s="10">
        <f>IF(Source!BA83&lt;&gt;0,Source!BA83,1)</f>
        <v>20.4</v>
      </c>
      <c r="K203" s="45">
        <f>Source!S83</f>
        <v>62558.05</v>
      </c>
      <c r="W203">
        <f>ROUND((Source!AF83*Source!AV83)*Source!I83,2)</f>
        <v>3066.57</v>
      </c>
    </row>
    <row r="204" spans="1:11" ht="14.25">
      <c r="A204" s="40"/>
      <c r="B204" s="41"/>
      <c r="C204" s="41" t="s">
        <v>555</v>
      </c>
      <c r="D204" s="42"/>
      <c r="E204" s="10"/>
      <c r="F204" s="44">
        <f>Source!AM83</f>
        <v>53.54</v>
      </c>
      <c r="G204" s="43" t="str">
        <f>Source!DE83</f>
        <v>)*1,15</v>
      </c>
      <c r="H204" s="10">
        <f>Source!AV83</f>
        <v>1.047</v>
      </c>
      <c r="I204" s="45">
        <f>ROUND((((((Source!ET83*1.15))-((Source!EU83*1.15)))+Source!AE83)*Source!AV83)*Source!I83,2)</f>
        <v>773.58</v>
      </c>
      <c r="J204" s="10">
        <f>IF(Source!BB83&lt;&gt;0,Source!BB83,1)</f>
        <v>6.73</v>
      </c>
      <c r="K204" s="45">
        <f>Source!Q83</f>
        <v>5206.18</v>
      </c>
    </row>
    <row r="205" spans="1:23" ht="14.25">
      <c r="A205" s="40"/>
      <c r="B205" s="41"/>
      <c r="C205" s="41" t="s">
        <v>556</v>
      </c>
      <c r="D205" s="42"/>
      <c r="E205" s="10"/>
      <c r="F205" s="44">
        <f>Source!AN83</f>
        <v>4.71</v>
      </c>
      <c r="G205" s="43" t="str">
        <f>Source!DF83</f>
        <v>)*1,15</v>
      </c>
      <c r="H205" s="10">
        <f>Source!AV83</f>
        <v>1.047</v>
      </c>
      <c r="I205" s="47">
        <f>ROUND((Source!AE83*Source!AV83)*Source!I83,2)</f>
        <v>68.05</v>
      </c>
      <c r="J205" s="10">
        <f>IF(Source!BS83&lt;&gt;0,Source!BS83,1)</f>
        <v>20.4</v>
      </c>
      <c r="K205" s="47">
        <f>Source!R83</f>
        <v>1388.28</v>
      </c>
      <c r="W205">
        <f>ROUND((Source!AE83*Source!AV83)*Source!I83,2)</f>
        <v>68.05</v>
      </c>
    </row>
    <row r="206" spans="1:11" ht="14.25">
      <c r="A206" s="40"/>
      <c r="B206" s="41"/>
      <c r="C206" s="41" t="s">
        <v>557</v>
      </c>
      <c r="D206" s="42"/>
      <c r="E206" s="10"/>
      <c r="F206" s="44">
        <f>Source!AL83</f>
        <v>61.32</v>
      </c>
      <c r="G206" s="43">
        <f>Source!DD83</f>
      </c>
      <c r="H206" s="10">
        <f>Source!AW83</f>
        <v>1</v>
      </c>
      <c r="I206" s="45">
        <f>ROUND((Source!AC83*Source!AW83)*Source!I83,2)</f>
        <v>735.84</v>
      </c>
      <c r="J206" s="10">
        <f>IF(Source!BC83&lt;&gt;0,Source!BC83,1)</f>
        <v>5.23</v>
      </c>
      <c r="K206" s="45">
        <f>Source!P83</f>
        <v>3848.44</v>
      </c>
    </row>
    <row r="207" spans="1:27" ht="68.25">
      <c r="A207" s="40" t="str">
        <f>Source!E84</f>
        <v>15,1</v>
      </c>
      <c r="B207" s="41" t="str">
        <f>Source!F84</f>
        <v>прайс</v>
      </c>
      <c r="C207" s="41" t="s">
        <v>579</v>
      </c>
      <c r="D207" s="42" t="str">
        <f>Source!H84</f>
        <v>ШТ</v>
      </c>
      <c r="E207" s="10">
        <f>Source!I84</f>
        <v>12</v>
      </c>
      <c r="F207" s="44">
        <f>Source!AK84</f>
        <v>10593.22</v>
      </c>
      <c r="G207" s="54" t="s">
        <v>6</v>
      </c>
      <c r="H207" s="10">
        <f>Source!AW84</f>
        <v>1</v>
      </c>
      <c r="I207" s="45">
        <f>ROUND((Source!AC84*Source!AW84)*Source!I84,2)+ROUND(((((Source!ET84)-(Source!EU84))+Source!AE84)*Source!AV84)*Source!I84,2)+ROUND((Source!AF84*Source!AV84)*Source!I84,2)</f>
        <v>127118.64</v>
      </c>
      <c r="J207" s="10">
        <f>IF(Source!BC84&lt;&gt;0,Source!BC84,1)</f>
        <v>1</v>
      </c>
      <c r="K207" s="45">
        <f>Source!O84</f>
        <v>127118.64</v>
      </c>
      <c r="Q207">
        <f>ROUND((Source!DN84/100)*ROUND((Source!AF84*Source!AV84)*Source!I84,2),2)</f>
        <v>0</v>
      </c>
      <c r="R207">
        <f>Source!X84</f>
        <v>0</v>
      </c>
      <c r="S207">
        <f>ROUND((Source!DO84/100)*ROUND((Source!AF84*Source!AV84)*Source!I84,2),2)</f>
        <v>0</v>
      </c>
      <c r="T207">
        <f>Source!Y84</f>
        <v>0</v>
      </c>
      <c r="U207">
        <f>ROUND((175/100)*ROUND((Source!AE84*Source!AV84)*Source!I84,2),2)</f>
        <v>0</v>
      </c>
      <c r="V207">
        <f>ROUND((167/100)*ROUND(Source!CS84*Source!I84,2),2)</f>
        <v>0</v>
      </c>
      <c r="X207">
        <f>IF(Source!BI84&lt;=1,I207,0)</f>
        <v>0</v>
      </c>
      <c r="Y207">
        <f>IF(Source!BI84=2,I207,0)</f>
        <v>127118.64</v>
      </c>
      <c r="Z207">
        <f>IF(Source!BI84=3,I207,0)</f>
        <v>0</v>
      </c>
      <c r="AA207">
        <f>IF(Source!BI84=4,I207,0)</f>
        <v>0</v>
      </c>
    </row>
    <row r="208" spans="1:11" ht="14.25">
      <c r="A208" s="40"/>
      <c r="B208" s="41"/>
      <c r="C208" s="41" t="s">
        <v>558</v>
      </c>
      <c r="D208" s="42" t="s">
        <v>559</v>
      </c>
      <c r="E208" s="10">
        <f>Source!DN83</f>
        <v>112</v>
      </c>
      <c r="F208" s="44"/>
      <c r="G208" s="43"/>
      <c r="H208" s="10"/>
      <c r="I208" s="45">
        <f>SUM(Q202:Q207)</f>
        <v>3434.56</v>
      </c>
      <c r="J208" s="10">
        <f>Source!BZ83</f>
        <v>90</v>
      </c>
      <c r="K208" s="45">
        <f>SUM(R202:R207)</f>
        <v>56302.25</v>
      </c>
    </row>
    <row r="209" spans="1:11" ht="14.25">
      <c r="A209" s="40"/>
      <c r="B209" s="41"/>
      <c r="C209" s="41" t="s">
        <v>560</v>
      </c>
      <c r="D209" s="42" t="s">
        <v>559</v>
      </c>
      <c r="E209" s="10">
        <f>Source!DO83</f>
        <v>70</v>
      </c>
      <c r="F209" s="44"/>
      <c r="G209" s="43"/>
      <c r="H209" s="10"/>
      <c r="I209" s="45">
        <f>SUM(S202:S208)</f>
        <v>2146.6</v>
      </c>
      <c r="J209" s="10">
        <f>Source!CA83</f>
        <v>43</v>
      </c>
      <c r="K209" s="45">
        <f>SUM(T202:T208)</f>
        <v>26899.96</v>
      </c>
    </row>
    <row r="210" spans="1:11" ht="14.25">
      <c r="A210" s="40"/>
      <c r="B210" s="41"/>
      <c r="C210" s="41" t="s">
        <v>561</v>
      </c>
      <c r="D210" s="42" t="s">
        <v>559</v>
      </c>
      <c r="E210" s="10">
        <f>175</f>
        <v>175</v>
      </c>
      <c r="F210" s="44"/>
      <c r="G210" s="43"/>
      <c r="H210" s="10"/>
      <c r="I210" s="45">
        <f>SUM(U202:U209)</f>
        <v>119.09</v>
      </c>
      <c r="J210" s="10">
        <f>167</f>
        <v>167</v>
      </c>
      <c r="K210" s="45">
        <f>SUM(V202:V209)</f>
        <v>2318.43</v>
      </c>
    </row>
    <row r="211" spans="1:28" ht="14.25">
      <c r="A211" s="40"/>
      <c r="B211" s="41"/>
      <c r="C211" s="41" t="s">
        <v>562</v>
      </c>
      <c r="D211" s="42" t="s">
        <v>563</v>
      </c>
      <c r="E211" s="10">
        <f>Source!AQ83</f>
        <v>16.14</v>
      </c>
      <c r="F211" s="44"/>
      <c r="G211" s="43" t="str">
        <f>Source!DI83</f>
        <v>)*1,15</v>
      </c>
      <c r="H211" s="10">
        <f>Source!AV83</f>
        <v>1.047</v>
      </c>
      <c r="I211" s="45">
        <f>Source!U83</f>
        <v>233.20040399999996</v>
      </c>
      <c r="J211" s="10"/>
      <c r="K211" s="45"/>
      <c r="AB211" s="48">
        <f>I211</f>
        <v>233.20040399999996</v>
      </c>
    </row>
    <row r="212" spans="1:27" ht="15">
      <c r="A212" s="51"/>
      <c r="B212" s="51"/>
      <c r="C212" s="52" t="s">
        <v>564</v>
      </c>
      <c r="D212" s="51"/>
      <c r="E212" s="51"/>
      <c r="F212" s="51"/>
      <c r="G212" s="51"/>
      <c r="H212" s="53">
        <f>I203+I204+I206+I208+I209+I210+SUM(I207:I207)</f>
        <v>137394.88</v>
      </c>
      <c r="I212" s="53"/>
      <c r="J212" s="53">
        <f>K203+K204+K206+K208+K209+K210+SUM(K207:K207)</f>
        <v>284251.95</v>
      </c>
      <c r="K212" s="53"/>
      <c r="O212" s="48">
        <f>H212</f>
        <v>137394.88</v>
      </c>
      <c r="P212" s="48">
        <f>J212</f>
        <v>284251.95</v>
      </c>
      <c r="X212">
        <f>IF(Source!BI83&lt;=1,I203+I204+I206+I208+I209+I210-0,0)</f>
        <v>0</v>
      </c>
      <c r="Y212">
        <f>IF(Source!BI83=2,I203+I204+I206+I208+I209+I210-0,0)</f>
        <v>10276.24</v>
      </c>
      <c r="Z212">
        <f>IF(Source!BI83=3,I203+I204+I206+I208+I209+I210-0,0)</f>
        <v>0</v>
      </c>
      <c r="AA212">
        <f>IF(Source!BI83=4,I203+I204+I206+I208+I209+I210,0)</f>
        <v>0</v>
      </c>
    </row>
    <row r="214" spans="1:22" ht="65.25">
      <c r="A214" s="40" t="str">
        <f>Source!E85</f>
        <v>16</v>
      </c>
      <c r="B214" s="41" t="s">
        <v>580</v>
      </c>
      <c r="C214" s="41" t="str">
        <f>Source!G85</f>
        <v>УПЛОТНИТЕЛЬ КАБЕЛЬНОГО ПРОХОДА ТЕРМОУСАЖИВАЕМЫЙ</v>
      </c>
      <c r="D214" s="42" t="str">
        <f>Source!H85</f>
        <v>100 компл.</v>
      </c>
      <c r="E214" s="10">
        <f>Source!I85</f>
        <v>0.32</v>
      </c>
      <c r="F214" s="44"/>
      <c r="G214" s="43"/>
      <c r="H214" s="10"/>
      <c r="I214" s="45"/>
      <c r="J214" s="10"/>
      <c r="K214" s="45"/>
      <c r="Q214">
        <f>ROUND((Source!DN85/100)*ROUND((Source!AF85*Source!AV85)*Source!I85,2),2)</f>
        <v>926.26</v>
      </c>
      <c r="R214">
        <f>Source!X85</f>
        <v>15184.13</v>
      </c>
      <c r="S214">
        <f>ROUND((Source!DO85/100)*ROUND((Source!AF85*Source!AV85)*Source!I85,2),2)</f>
        <v>578.91</v>
      </c>
      <c r="T214">
        <f>Source!Y85</f>
        <v>7254.64</v>
      </c>
      <c r="U214">
        <f>ROUND((175/100)*ROUND((Source!AE85*Source!AV85)*Source!I85,2),2)</f>
        <v>41.81</v>
      </c>
      <c r="V214">
        <f>ROUND((167/100)*ROUND(Source!CS85*Source!I85,2),2)</f>
        <v>813.96</v>
      </c>
    </row>
    <row r="215" ht="12.75">
      <c r="C215" s="46" t="str">
        <f>"Объем: "&amp;Source!I85&amp;"=32/"&amp;"100"</f>
        <v>Объем: 0,32=32/100</v>
      </c>
    </row>
    <row r="216" spans="1:23" ht="14.25">
      <c r="A216" s="40"/>
      <c r="B216" s="41"/>
      <c r="C216" s="41" t="s">
        <v>554</v>
      </c>
      <c r="D216" s="42"/>
      <c r="E216" s="10"/>
      <c r="F216" s="44">
        <f>Source!AO85</f>
        <v>2146.46</v>
      </c>
      <c r="G216" s="43" t="str">
        <f>Source!DG85</f>
        <v>)*1,15</v>
      </c>
      <c r="H216" s="10">
        <f>Source!AV85</f>
        <v>1.047</v>
      </c>
      <c r="I216" s="45">
        <f>ROUND((Source!AF85*Source!AV85)*Source!I85,2)</f>
        <v>827.02</v>
      </c>
      <c r="J216" s="10">
        <f>IF(Source!BA85&lt;&gt;0,Source!BA85,1)</f>
        <v>20.4</v>
      </c>
      <c r="K216" s="45">
        <f>Source!S85</f>
        <v>16871.26</v>
      </c>
      <c r="W216">
        <f>ROUND((Source!AF85*Source!AV85)*Source!I85,2)</f>
        <v>827.02</v>
      </c>
    </row>
    <row r="217" spans="1:11" ht="14.25">
      <c r="A217" s="40"/>
      <c r="B217" s="41"/>
      <c r="C217" s="41" t="s">
        <v>555</v>
      </c>
      <c r="D217" s="42"/>
      <c r="E217" s="10"/>
      <c r="F217" s="44">
        <f>Source!AM85</f>
        <v>715.22</v>
      </c>
      <c r="G217" s="43" t="str">
        <f>Source!DE85</f>
        <v>)*1,15</v>
      </c>
      <c r="H217" s="10">
        <f>Source!AV85</f>
        <v>1.047</v>
      </c>
      <c r="I217" s="45">
        <f>ROUND((((((Source!ET85*1.15))-((Source!EU85*1.15)))+Source!AE85)*Source!AV85)*Source!I85,2)</f>
        <v>275.57</v>
      </c>
      <c r="J217" s="10">
        <f>IF(Source!BB85&lt;&gt;0,Source!BB85,1)</f>
        <v>6.71</v>
      </c>
      <c r="K217" s="45">
        <f>Source!Q85</f>
        <v>1849.08</v>
      </c>
    </row>
    <row r="218" spans="1:23" ht="14.25">
      <c r="A218" s="40"/>
      <c r="B218" s="41"/>
      <c r="C218" s="41" t="s">
        <v>556</v>
      </c>
      <c r="D218" s="42"/>
      <c r="E218" s="10"/>
      <c r="F218" s="44">
        <f>Source!AN85</f>
        <v>62.01</v>
      </c>
      <c r="G218" s="43" t="str">
        <f>Source!DF85</f>
        <v>)*1,15</v>
      </c>
      <c r="H218" s="10">
        <f>Source!AV85</f>
        <v>1.047</v>
      </c>
      <c r="I218" s="47">
        <f>ROUND((Source!AE85*Source!AV85)*Source!I85,2)</f>
        <v>23.89</v>
      </c>
      <c r="J218" s="10">
        <f>IF(Source!BS85&lt;&gt;0,Source!BS85,1)</f>
        <v>20.4</v>
      </c>
      <c r="K218" s="47">
        <f>Source!R85</f>
        <v>487.4</v>
      </c>
      <c r="W218">
        <f>ROUND((Source!AE85*Source!AV85)*Source!I85,2)</f>
        <v>23.89</v>
      </c>
    </row>
    <row r="219" spans="1:11" ht="14.25">
      <c r="A219" s="40"/>
      <c r="B219" s="41"/>
      <c r="C219" s="41" t="s">
        <v>557</v>
      </c>
      <c r="D219" s="42"/>
      <c r="E219" s="10"/>
      <c r="F219" s="44">
        <f>Source!AL85</f>
        <v>519.45</v>
      </c>
      <c r="G219" s="43">
        <f>Source!DD85</f>
      </c>
      <c r="H219" s="10">
        <f>Source!AW85</f>
        <v>1</v>
      </c>
      <c r="I219" s="45">
        <f>ROUND((Source!AC85*Source!AW85)*Source!I85,2)</f>
        <v>166.22</v>
      </c>
      <c r="J219" s="10">
        <f>IF(Source!BC85&lt;&gt;0,Source!BC85,1)</f>
        <v>5.23</v>
      </c>
      <c r="K219" s="45">
        <f>Source!P85</f>
        <v>869.35</v>
      </c>
    </row>
    <row r="220" spans="1:11" ht="14.25">
      <c r="A220" s="40"/>
      <c r="B220" s="41"/>
      <c r="C220" s="41" t="s">
        <v>558</v>
      </c>
      <c r="D220" s="42" t="s">
        <v>559</v>
      </c>
      <c r="E220" s="10">
        <f>Source!DN85</f>
        <v>112</v>
      </c>
      <c r="F220" s="44"/>
      <c r="G220" s="43"/>
      <c r="H220" s="10"/>
      <c r="I220" s="45">
        <f>SUM(Q214:Q219)</f>
        <v>926.26</v>
      </c>
      <c r="J220" s="10">
        <f>Source!BZ85</f>
        <v>90</v>
      </c>
      <c r="K220" s="45">
        <f>SUM(R214:R219)</f>
        <v>15184.13</v>
      </c>
    </row>
    <row r="221" spans="1:11" ht="14.25">
      <c r="A221" s="40"/>
      <c r="B221" s="41"/>
      <c r="C221" s="41" t="s">
        <v>560</v>
      </c>
      <c r="D221" s="42" t="s">
        <v>559</v>
      </c>
      <c r="E221" s="10">
        <f>Source!DO85</f>
        <v>70</v>
      </c>
      <c r="F221" s="44"/>
      <c r="G221" s="43"/>
      <c r="H221" s="10"/>
      <c r="I221" s="45">
        <f>SUM(S214:S220)</f>
        <v>578.91</v>
      </c>
      <c r="J221" s="10">
        <f>Source!CA85</f>
        <v>43</v>
      </c>
      <c r="K221" s="45">
        <f>SUM(T214:T220)</f>
        <v>7254.64</v>
      </c>
    </row>
    <row r="222" spans="1:11" ht="14.25">
      <c r="A222" s="40"/>
      <c r="B222" s="41"/>
      <c r="C222" s="41" t="s">
        <v>561</v>
      </c>
      <c r="D222" s="42" t="s">
        <v>559</v>
      </c>
      <c r="E222" s="10">
        <f>175</f>
        <v>175</v>
      </c>
      <c r="F222" s="44"/>
      <c r="G222" s="43"/>
      <c r="H222" s="10"/>
      <c r="I222" s="45">
        <f>SUM(U214:U221)</f>
        <v>41.81</v>
      </c>
      <c r="J222" s="10">
        <f>167</f>
        <v>167</v>
      </c>
      <c r="K222" s="45">
        <f>SUM(V214:V221)</f>
        <v>813.96</v>
      </c>
    </row>
    <row r="223" spans="1:28" ht="14.25">
      <c r="A223" s="40"/>
      <c r="B223" s="41"/>
      <c r="C223" s="41" t="s">
        <v>562</v>
      </c>
      <c r="D223" s="42" t="s">
        <v>563</v>
      </c>
      <c r="E223" s="10">
        <f>Source!AQ85</f>
        <v>155.89</v>
      </c>
      <c r="F223" s="44"/>
      <c r="G223" s="43" t="str">
        <f>Source!DI85</f>
        <v>)*1,15</v>
      </c>
      <c r="H223" s="10">
        <f>Source!AV85</f>
        <v>1.047</v>
      </c>
      <c r="I223" s="45">
        <f>Source!U85</f>
        <v>60.06379343999999</v>
      </c>
      <c r="J223" s="10"/>
      <c r="K223" s="45"/>
      <c r="AB223" s="48">
        <f>I223</f>
        <v>60.06379343999999</v>
      </c>
    </row>
    <row r="224" spans="1:27" ht="15">
      <c r="A224" s="51"/>
      <c r="B224" s="51"/>
      <c r="C224" s="52" t="s">
        <v>564</v>
      </c>
      <c r="D224" s="51"/>
      <c r="E224" s="51"/>
      <c r="F224" s="51"/>
      <c r="G224" s="51"/>
      <c r="H224" s="53">
        <f>I216+I217+I219+I220+I221+I222</f>
        <v>2815.7899999999995</v>
      </c>
      <c r="I224" s="53"/>
      <c r="J224" s="53">
        <f>K216+K217+K219+K220+K221+K222</f>
        <v>42842.41999999999</v>
      </c>
      <c r="K224" s="53"/>
      <c r="O224" s="48">
        <f>H224</f>
        <v>2815.7899999999995</v>
      </c>
      <c r="P224" s="48">
        <f>J224</f>
        <v>42842.41999999999</v>
      </c>
      <c r="X224">
        <f>IF(Source!BI85&lt;=1,I216+I217+I219+I220+I221+I222-0,0)</f>
        <v>0</v>
      </c>
      <c r="Y224">
        <f>IF(Source!BI85=2,I216+I217+I219+I220+I221+I222-0,0)</f>
        <v>2815.7899999999995</v>
      </c>
      <c r="Z224">
        <f>IF(Source!BI85=3,I216+I217+I219+I220+I221+I222-0,0)</f>
        <v>0</v>
      </c>
      <c r="AA224">
        <f>IF(Source!BI85=4,I216+I217+I219+I220+I221+I222,0)</f>
        <v>0</v>
      </c>
    </row>
    <row r="226" spans="1:22" ht="27">
      <c r="A226" s="40" t="str">
        <f>Source!E86</f>
        <v>17</v>
      </c>
      <c r="B226" s="41" t="str">
        <f>Source!F86</f>
        <v>прайс</v>
      </c>
      <c r="C226" s="41" t="s">
        <v>581</v>
      </c>
      <c r="D226" s="42" t="str">
        <f>Source!H86</f>
        <v>ШТ</v>
      </c>
      <c r="E226" s="10">
        <f>Source!I86</f>
        <v>32</v>
      </c>
      <c r="F226" s="44">
        <f>Source!AL86</f>
        <v>669.49</v>
      </c>
      <c r="G226" s="43">
        <f>Source!DD86</f>
      </c>
      <c r="H226" s="10">
        <f>Source!AW86</f>
        <v>1</v>
      </c>
      <c r="I226" s="45">
        <f>ROUND((Source!AC86*Source!AW86)*Source!I86,2)</f>
        <v>21423.68</v>
      </c>
      <c r="J226" s="10">
        <f>IF(Source!BC86&lt;&gt;0,Source!BC86,1)</f>
        <v>1</v>
      </c>
      <c r="K226" s="45">
        <f>Source!P86</f>
        <v>21423.68</v>
      </c>
      <c r="Q226">
        <f>ROUND((Source!DN86/100)*ROUND((Source!AF86*Source!AV86)*Source!I86,2),2)</f>
        <v>0</v>
      </c>
      <c r="R226">
        <f>Source!X86</f>
        <v>0</v>
      </c>
      <c r="S226">
        <f>ROUND((Source!DO86/100)*ROUND((Source!AF86*Source!AV86)*Source!I86,2),2)</f>
        <v>0</v>
      </c>
      <c r="T226">
        <f>Source!Y86</f>
        <v>0</v>
      </c>
      <c r="U226">
        <f>ROUND((175/100)*ROUND((Source!AE86*Source!AV86)*Source!I86,2),2)</f>
        <v>0</v>
      </c>
      <c r="V226">
        <f>ROUND((167/100)*ROUND(Source!CS86*Source!I86,2),2)</f>
        <v>0</v>
      </c>
    </row>
    <row r="227" spans="1:27" ht="15">
      <c r="A227" s="51"/>
      <c r="B227" s="51"/>
      <c r="C227" s="52" t="s">
        <v>564</v>
      </c>
      <c r="D227" s="51"/>
      <c r="E227" s="51"/>
      <c r="F227" s="51"/>
      <c r="G227" s="51"/>
      <c r="H227" s="53">
        <f>I226</f>
        <v>21423.68</v>
      </c>
      <c r="I227" s="53"/>
      <c r="J227" s="53">
        <f>K226</f>
        <v>21423.68</v>
      </c>
      <c r="K227" s="53"/>
      <c r="O227" s="48">
        <f>H227</f>
        <v>21423.68</v>
      </c>
      <c r="P227" s="48">
        <f>J227</f>
        <v>21423.68</v>
      </c>
      <c r="X227">
        <f>IF(Source!BI86&lt;=1,I226-0,0)</f>
        <v>0</v>
      </c>
      <c r="Y227">
        <f>IF(Source!BI86=2,I226-0,0)</f>
        <v>21423.68</v>
      </c>
      <c r="Z227">
        <f>IF(Source!BI86=3,I226-0,0)</f>
        <v>0</v>
      </c>
      <c r="AA227">
        <f>IF(Source!BI86=4,I226,0)</f>
        <v>0</v>
      </c>
    </row>
    <row r="229" spans="1:22" ht="65.25">
      <c r="A229" s="40" t="str">
        <f>Source!E87</f>
        <v>18</v>
      </c>
      <c r="B229" s="41" t="s">
        <v>582</v>
      </c>
      <c r="C229" s="41" t="str">
        <f>Source!G87</f>
        <v>ПОКРЫТИЕ КАБЕЛЕЙ, ПРОЛОЖЕННЫХ В ТРАНШЕЕ, ПЛИТАМИ: ОДНОГО КАБЕЛЯ</v>
      </c>
      <c r="D229" s="42" t="str">
        <f>Source!H87</f>
        <v>100 м</v>
      </c>
      <c r="E229" s="10">
        <f>Source!I87</f>
        <v>5.17</v>
      </c>
      <c r="F229" s="44"/>
      <c r="G229" s="43"/>
      <c r="H229" s="10"/>
      <c r="I229" s="45"/>
      <c r="J229" s="10"/>
      <c r="K229" s="45"/>
      <c r="Q229">
        <f>ROUND((Source!DN87/100)*ROUND((Source!AF87*Source!AV87)*Source!I87,2),2)</f>
        <v>576.44</v>
      </c>
      <c r="R229">
        <f>Source!X87</f>
        <v>9449.46</v>
      </c>
      <c r="S229">
        <f>ROUND((Source!DO87/100)*ROUND((Source!AF87*Source!AV87)*Source!I87,2),2)</f>
        <v>360.28</v>
      </c>
      <c r="T229">
        <f>Source!Y87</f>
        <v>4514.74</v>
      </c>
      <c r="U229">
        <f>ROUND((175/100)*ROUND((Source!AE87*Source!AV87)*Source!I87,2),2)</f>
        <v>1062.88</v>
      </c>
      <c r="V229">
        <f>ROUND((167/100)*ROUND(Source!CS87*Source!I87,2),2)</f>
        <v>20691.55</v>
      </c>
    </row>
    <row r="230" ht="12.75">
      <c r="C230" s="46" t="str">
        <f>"Объем: "&amp;Source!I87&amp;"=517/"&amp;"100"</f>
        <v>Объем: 5,17=517/100</v>
      </c>
    </row>
    <row r="231" spans="1:23" ht="14.25">
      <c r="A231" s="40"/>
      <c r="B231" s="41"/>
      <c r="C231" s="41" t="s">
        <v>554</v>
      </c>
      <c r="D231" s="42"/>
      <c r="E231" s="10"/>
      <c r="F231" s="44">
        <f>Source!AO87</f>
        <v>81.13</v>
      </c>
      <c r="G231" s="43" t="str">
        <f>Source!DG87</f>
        <v>)*1,15</v>
      </c>
      <c r="H231" s="10">
        <f>Source!AV87</f>
        <v>1.067</v>
      </c>
      <c r="I231" s="45">
        <f>ROUND((Source!AF87*Source!AV87)*Source!I87,2)</f>
        <v>514.68</v>
      </c>
      <c r="J231" s="10">
        <f>IF(Source!BA87&lt;&gt;0,Source!BA87,1)</f>
        <v>20.4</v>
      </c>
      <c r="K231" s="45">
        <f>Source!S87</f>
        <v>10499.4</v>
      </c>
      <c r="W231">
        <f>ROUND((Source!AF87*Source!AV87)*Source!I87,2)</f>
        <v>514.68</v>
      </c>
    </row>
    <row r="232" spans="1:11" ht="14.25">
      <c r="A232" s="40"/>
      <c r="B232" s="41"/>
      <c r="C232" s="41" t="s">
        <v>555</v>
      </c>
      <c r="D232" s="42"/>
      <c r="E232" s="10"/>
      <c r="F232" s="44">
        <f>Source!AM87</f>
        <v>412.29</v>
      </c>
      <c r="G232" s="43" t="str">
        <f>Source!DE87</f>
        <v>)*1,15</v>
      </c>
      <c r="H232" s="10">
        <f>Source!AV87</f>
        <v>1.067</v>
      </c>
      <c r="I232" s="45">
        <f>ROUND((((((Source!ET87*1.15))-((Source!EU87*1.15)))+Source!AE87)*Source!AV87)*Source!I87,2)</f>
        <v>2615.51</v>
      </c>
      <c r="J232" s="10">
        <f>IF(Source!BB87&lt;&gt;0,Source!BB87,1)</f>
        <v>8.89</v>
      </c>
      <c r="K232" s="45">
        <f>Source!Q87</f>
        <v>23251.84</v>
      </c>
    </row>
    <row r="233" spans="1:23" ht="14.25">
      <c r="A233" s="40"/>
      <c r="B233" s="41"/>
      <c r="C233" s="41" t="s">
        <v>556</v>
      </c>
      <c r="D233" s="42"/>
      <c r="E233" s="10"/>
      <c r="F233" s="44">
        <f>Source!AN87</f>
        <v>95.74</v>
      </c>
      <c r="G233" s="43" t="str">
        <f>Source!DF87</f>
        <v>)*1,15</v>
      </c>
      <c r="H233" s="10">
        <f>Source!AV87</f>
        <v>1.067</v>
      </c>
      <c r="I233" s="47">
        <f>ROUND((Source!AE87*Source!AV87)*Source!I87,2)</f>
        <v>607.36</v>
      </c>
      <c r="J233" s="10">
        <f>IF(Source!BS87&lt;&gt;0,Source!BS87,1)</f>
        <v>20.4</v>
      </c>
      <c r="K233" s="47">
        <f>Source!R87</f>
        <v>12390.15</v>
      </c>
      <c r="W233">
        <f>ROUND((Source!AE87*Source!AV87)*Source!I87,2)</f>
        <v>607.36</v>
      </c>
    </row>
    <row r="234" spans="1:11" ht="14.25">
      <c r="A234" s="40"/>
      <c r="B234" s="41"/>
      <c r="C234" s="41" t="s">
        <v>557</v>
      </c>
      <c r="D234" s="42"/>
      <c r="E234" s="10"/>
      <c r="F234" s="44">
        <f>Source!AL87</f>
        <v>0.42</v>
      </c>
      <c r="G234" s="43">
        <f>Source!DD87</f>
      </c>
      <c r="H234" s="10">
        <f>Source!AW87</f>
        <v>1.081</v>
      </c>
      <c r="I234" s="45">
        <f>ROUND((Source!AC87*Source!AW87)*Source!I87,2)</f>
        <v>2.35</v>
      </c>
      <c r="J234" s="10">
        <f>IF(Source!BC87&lt;&gt;0,Source!BC87,1)</f>
        <v>5.24</v>
      </c>
      <c r="K234" s="45">
        <f>Source!P87</f>
        <v>12.3</v>
      </c>
    </row>
    <row r="235" spans="1:11" ht="14.25">
      <c r="A235" s="40"/>
      <c r="B235" s="41"/>
      <c r="C235" s="41" t="s">
        <v>558</v>
      </c>
      <c r="D235" s="42" t="s">
        <v>559</v>
      </c>
      <c r="E235" s="10">
        <f>Source!DN87</f>
        <v>112</v>
      </c>
      <c r="F235" s="44"/>
      <c r="G235" s="43"/>
      <c r="H235" s="10"/>
      <c r="I235" s="45">
        <f>SUM(Q229:Q234)</f>
        <v>576.44</v>
      </c>
      <c r="J235" s="10">
        <f>Source!BZ87</f>
        <v>90</v>
      </c>
      <c r="K235" s="45">
        <f>SUM(R229:R234)</f>
        <v>9449.46</v>
      </c>
    </row>
    <row r="236" spans="1:11" ht="14.25">
      <c r="A236" s="40"/>
      <c r="B236" s="41"/>
      <c r="C236" s="41" t="s">
        <v>560</v>
      </c>
      <c r="D236" s="42" t="s">
        <v>559</v>
      </c>
      <c r="E236" s="10">
        <f>Source!DO87</f>
        <v>70</v>
      </c>
      <c r="F236" s="44"/>
      <c r="G236" s="43"/>
      <c r="H236" s="10"/>
      <c r="I236" s="45">
        <f>SUM(S229:S235)</f>
        <v>360.28</v>
      </c>
      <c r="J236" s="10">
        <f>Source!CA87</f>
        <v>43</v>
      </c>
      <c r="K236" s="45">
        <f>SUM(T229:T235)</f>
        <v>4514.74</v>
      </c>
    </row>
    <row r="237" spans="1:11" ht="14.25">
      <c r="A237" s="40"/>
      <c r="B237" s="41"/>
      <c r="C237" s="41" t="s">
        <v>561</v>
      </c>
      <c r="D237" s="42" t="s">
        <v>559</v>
      </c>
      <c r="E237" s="10">
        <f>175</f>
        <v>175</v>
      </c>
      <c r="F237" s="44"/>
      <c r="G237" s="43"/>
      <c r="H237" s="10"/>
      <c r="I237" s="45">
        <f>SUM(U229:U236)</f>
        <v>1062.88</v>
      </c>
      <c r="J237" s="10">
        <f>167</f>
        <v>167</v>
      </c>
      <c r="K237" s="45">
        <f>SUM(V229:V236)</f>
        <v>20691.55</v>
      </c>
    </row>
    <row r="238" spans="1:28" ht="14.25">
      <c r="A238" s="40"/>
      <c r="B238" s="41"/>
      <c r="C238" s="41" t="s">
        <v>562</v>
      </c>
      <c r="D238" s="42" t="s">
        <v>563</v>
      </c>
      <c r="E238" s="10">
        <f>Source!AQ87</f>
        <v>6.58</v>
      </c>
      <c r="F238" s="44"/>
      <c r="G238" s="43" t="str">
        <f>Source!DI87</f>
        <v>)*1,15</v>
      </c>
      <c r="H238" s="10">
        <f>Source!AV87</f>
        <v>1.067</v>
      </c>
      <c r="I238" s="45">
        <f>Source!U87</f>
        <v>41.742523129999995</v>
      </c>
      <c r="J238" s="10"/>
      <c r="K238" s="45"/>
      <c r="AB238" s="48">
        <f>I238</f>
        <v>41.742523129999995</v>
      </c>
    </row>
    <row r="239" spans="1:27" ht="15">
      <c r="A239" s="51"/>
      <c r="B239" s="51"/>
      <c r="C239" s="52" t="s">
        <v>564</v>
      </c>
      <c r="D239" s="51"/>
      <c r="E239" s="51"/>
      <c r="F239" s="51"/>
      <c r="G239" s="51"/>
      <c r="H239" s="53">
        <f>I231+I232+I234+I235+I236+I237</f>
        <v>5132.14</v>
      </c>
      <c r="I239" s="53"/>
      <c r="J239" s="53">
        <f>K231+K232+K234+K235+K236+K237</f>
        <v>68419.29</v>
      </c>
      <c r="K239" s="53"/>
      <c r="O239" s="48">
        <f>H239</f>
        <v>5132.14</v>
      </c>
      <c r="P239" s="48">
        <f>J239</f>
        <v>68419.29</v>
      </c>
      <c r="X239">
        <f>IF(Source!BI87&lt;=1,I231+I232+I234+I235+I236+I237-0,0)</f>
        <v>0</v>
      </c>
      <c r="Y239">
        <f>IF(Source!BI87=2,I231+I232+I234+I235+I236+I237-0,0)</f>
        <v>5132.14</v>
      </c>
      <c r="Z239">
        <f>IF(Source!BI87=3,I231+I232+I234+I235+I236+I237-0,0)</f>
        <v>0</v>
      </c>
      <c r="AA239">
        <f>IF(Source!BI87=4,I231+I232+I234+I235+I236+I237,0)</f>
        <v>0</v>
      </c>
    </row>
    <row r="241" spans="1:22" ht="27">
      <c r="A241" s="40" t="str">
        <f>Source!E88</f>
        <v>19</v>
      </c>
      <c r="B241" s="41" t="str">
        <f>Source!F88</f>
        <v>прайс</v>
      </c>
      <c r="C241" s="41" t="s">
        <v>583</v>
      </c>
      <c r="D241" s="42" t="str">
        <f>Source!H88</f>
        <v>ШТ</v>
      </c>
      <c r="E241" s="10">
        <f>Source!I88</f>
        <v>1078</v>
      </c>
      <c r="F241" s="44">
        <f>Source!AL88</f>
        <v>57.63</v>
      </c>
      <c r="G241" s="43">
        <f>Source!DD88</f>
      </c>
      <c r="H241" s="10">
        <f>Source!AW88</f>
        <v>1</v>
      </c>
      <c r="I241" s="45">
        <f>ROUND((Source!AC88*Source!AW88)*Source!I88,2)</f>
        <v>62125.14</v>
      </c>
      <c r="J241" s="10">
        <f>IF(Source!BC88&lt;&gt;0,Source!BC88,1)</f>
        <v>1</v>
      </c>
      <c r="K241" s="45">
        <f>Source!P88</f>
        <v>62125.14</v>
      </c>
      <c r="Q241">
        <f>ROUND((Source!DN88/100)*ROUND((Source!AF88*Source!AV88)*Source!I88,2),2)</f>
        <v>0</v>
      </c>
      <c r="R241">
        <f>Source!X88</f>
        <v>0</v>
      </c>
      <c r="S241">
        <f>ROUND((Source!DO88/100)*ROUND((Source!AF88*Source!AV88)*Source!I88,2),2)</f>
        <v>0</v>
      </c>
      <c r="T241">
        <f>Source!Y88</f>
        <v>0</v>
      </c>
      <c r="U241">
        <f>ROUND((175/100)*ROUND((Source!AE88*Source!AV88)*Source!I88,2),2)</f>
        <v>0</v>
      </c>
      <c r="V241">
        <f>ROUND((167/100)*ROUND(Source!CS88*Source!I88,2),2)</f>
        <v>0</v>
      </c>
    </row>
    <row r="242" spans="1:27" ht="15">
      <c r="A242" s="51"/>
      <c r="B242" s="51"/>
      <c r="C242" s="52" t="s">
        <v>564</v>
      </c>
      <c r="D242" s="51"/>
      <c r="E242" s="51"/>
      <c r="F242" s="51"/>
      <c r="G242" s="51"/>
      <c r="H242" s="53">
        <f>I241</f>
        <v>62125.14</v>
      </c>
      <c r="I242" s="53"/>
      <c r="J242" s="53">
        <f>K241</f>
        <v>62125.14</v>
      </c>
      <c r="K242" s="53"/>
      <c r="O242" s="48">
        <f>H242</f>
        <v>62125.14</v>
      </c>
      <c r="P242" s="48">
        <f>J242</f>
        <v>62125.14</v>
      </c>
      <c r="X242">
        <f>IF(Source!BI88&lt;=1,I241-0,0)</f>
        <v>0</v>
      </c>
      <c r="Y242">
        <f>IF(Source!BI88=2,I241-0,0)</f>
        <v>62125.14</v>
      </c>
      <c r="Z242">
        <f>IF(Source!BI88=3,I241-0,0)</f>
        <v>0</v>
      </c>
      <c r="AA242">
        <f>IF(Source!BI88=4,I241,0)</f>
        <v>0</v>
      </c>
    </row>
    <row r="245" spans="1:32" ht="15">
      <c r="A245" s="56" t="str">
        <f>CONCATENATE("Итого по подразделу: ",IF(Source!G90&lt;&gt;"Новый подраздел",Source!G90,""))</f>
        <v>Итого по подразделу: Электромонтажные работы</v>
      </c>
      <c r="B245" s="56"/>
      <c r="C245" s="56"/>
      <c r="D245" s="56"/>
      <c r="E245" s="56"/>
      <c r="F245" s="56"/>
      <c r="G245" s="56"/>
      <c r="H245" s="50">
        <f>SUM(O150:O244)</f>
        <v>5210175.939999999</v>
      </c>
      <c r="I245" s="55"/>
      <c r="J245" s="50">
        <f>SUM(P150:P244)</f>
        <v>6658712.55</v>
      </c>
      <c r="K245" s="55"/>
      <c r="AF245" s="57" t="str">
        <f>CONCATENATE("Итого по подразделу: ",IF(Source!G90&lt;&gt;"Новый подраздел",Source!G90,""))</f>
        <v>Итого по подразделу: Электромонтажные работы</v>
      </c>
    </row>
    <row r="247" spans="1:31" ht="16.5">
      <c r="A247" s="38" t="str">
        <f>CONCATENATE("Подраздел: ",IF(Source!G116&lt;&gt;"Новый подраздел",Source!G116,""))</f>
        <v>Подраздел: Пусконаладочные работы</v>
      </c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AE247" s="39" t="str">
        <f>CONCATENATE("Подраздел: ",IF(Source!G116&lt;&gt;"Новый подраздел",Source!G116,""))</f>
        <v>Подраздел: Пусконаладочные работы</v>
      </c>
    </row>
    <row r="248" spans="1:22" ht="65.25">
      <c r="A248" s="40" t="str">
        <f>Source!E120</f>
        <v>20</v>
      </c>
      <c r="B248" s="41" t="s">
        <v>584</v>
      </c>
      <c r="C248" s="41" t="str">
        <f>Source!G120</f>
        <v>КАБЕЛЬНЫЕ ЛИНИИ ВЫСОКОГО ИЛИ НИЗКОГО НАПРЯЖЕНИЯ</v>
      </c>
      <c r="D248" s="42" t="str">
        <f>Source!H120</f>
        <v>линия кабеля</v>
      </c>
      <c r="E248" s="10">
        <f>Source!I120</f>
        <v>6</v>
      </c>
      <c r="F248" s="44"/>
      <c r="G248" s="43"/>
      <c r="H248" s="10"/>
      <c r="I248" s="45"/>
      <c r="J248" s="10"/>
      <c r="K248" s="45"/>
      <c r="Q248">
        <f>ROUND((Source!DN120/100)*ROUND((Source!AF120*Source!AV120)*Source!I120,2),2)</f>
        <v>6058.32</v>
      </c>
      <c r="R248">
        <f>Source!X120</f>
        <v>112054.66</v>
      </c>
      <c r="S248">
        <f>ROUND((Source!DO120/100)*ROUND((Source!AF120*Source!AV120)*Source!I120,2),2)</f>
        <v>5654.43</v>
      </c>
      <c r="T248">
        <f>Source!Y120</f>
        <v>67562.37</v>
      </c>
      <c r="U248">
        <f>ROUND((175/100)*ROUND((Source!AE120*Source!AV120)*Source!I120,2),2)</f>
        <v>0</v>
      </c>
      <c r="V248">
        <f>ROUND((167/100)*ROUND(Source!CS120*Source!I120,2),2)</f>
        <v>0</v>
      </c>
    </row>
    <row r="249" spans="1:23" ht="14.25">
      <c r="A249" s="40"/>
      <c r="B249" s="41"/>
      <c r="C249" s="41" t="s">
        <v>554</v>
      </c>
      <c r="D249" s="42"/>
      <c r="E249" s="10"/>
      <c r="F249" s="44">
        <f>Source!AO120</f>
        <v>1035.61</v>
      </c>
      <c r="G249" s="43" t="str">
        <f>Source!DG120</f>
        <v>)*1,3</v>
      </c>
      <c r="H249" s="10">
        <f>Source!AV120</f>
        <v>1</v>
      </c>
      <c r="I249" s="45">
        <f>ROUND((Source!AF120*Source!AV120)*Source!I120,2)</f>
        <v>8077.76</v>
      </c>
      <c r="J249" s="10">
        <f>IF(Source!BA120&lt;&gt;0,Source!BA120,1)</f>
        <v>20.4</v>
      </c>
      <c r="K249" s="45">
        <f>Source!S120</f>
        <v>164786.26</v>
      </c>
      <c r="W249">
        <f>ROUND((Source!AF120*Source!AV120)*Source!I120,2)</f>
        <v>8077.76</v>
      </c>
    </row>
    <row r="250" spans="1:11" ht="14.25">
      <c r="A250" s="40"/>
      <c r="B250" s="41"/>
      <c r="C250" s="41" t="s">
        <v>555</v>
      </c>
      <c r="D250" s="42"/>
      <c r="E250" s="10"/>
      <c r="F250" s="44">
        <f>Source!AM120</f>
        <v>0</v>
      </c>
      <c r="G250" s="43">
        <f>Source!DE120</f>
      </c>
      <c r="H250" s="10">
        <f>Source!AV120</f>
        <v>1</v>
      </c>
      <c r="I250" s="45">
        <f>ROUND(((((Source!ET120)-(Source!EU120))+Source!AE120)*Source!AV120)*Source!I120,2)</f>
        <v>0</v>
      </c>
      <c r="J250" s="10">
        <f>IF(Source!BB120&lt;&gt;0,Source!BB120,1)</f>
        <v>1</v>
      </c>
      <c r="K250" s="45">
        <f>Source!Q120</f>
        <v>0</v>
      </c>
    </row>
    <row r="251" spans="1:23" ht="14.25">
      <c r="A251" s="40"/>
      <c r="B251" s="41"/>
      <c r="C251" s="41" t="s">
        <v>556</v>
      </c>
      <c r="D251" s="42"/>
      <c r="E251" s="10"/>
      <c r="F251" s="44">
        <f>Source!AN120</f>
        <v>0</v>
      </c>
      <c r="G251" s="43">
        <f>Source!DF120</f>
      </c>
      <c r="H251" s="10">
        <f>Source!AV120</f>
        <v>1</v>
      </c>
      <c r="I251" s="47">
        <f>ROUND((Source!AE120*Source!AV120)*Source!I120,2)</f>
        <v>0</v>
      </c>
      <c r="J251" s="10">
        <f>IF(Source!BS120&lt;&gt;0,Source!BS120,1)</f>
        <v>1</v>
      </c>
      <c r="K251" s="47">
        <f>Source!R120</f>
        <v>0</v>
      </c>
      <c r="W251">
        <f>ROUND((Source!AE120*Source!AV120)*Source!I120,2)</f>
        <v>0</v>
      </c>
    </row>
    <row r="252" spans="1:11" ht="14.25">
      <c r="A252" s="40"/>
      <c r="B252" s="41"/>
      <c r="C252" s="41" t="s">
        <v>557</v>
      </c>
      <c r="D252" s="42"/>
      <c r="E252" s="10"/>
      <c r="F252" s="44">
        <f>Source!AL120</f>
        <v>0</v>
      </c>
      <c r="G252" s="43">
        <f>Source!DD120</f>
      </c>
      <c r="H252" s="10">
        <f>Source!AW120</f>
        <v>1</v>
      </c>
      <c r="I252" s="45">
        <f>ROUND((Source!AC120*Source!AW120)*Source!I120,2)</f>
        <v>0</v>
      </c>
      <c r="J252" s="10">
        <f>IF(Source!BC120&lt;&gt;0,Source!BC120,1)</f>
        <v>1</v>
      </c>
      <c r="K252" s="45">
        <f>Source!P120</f>
        <v>0</v>
      </c>
    </row>
    <row r="253" spans="1:11" ht="14.25">
      <c r="A253" s="40"/>
      <c r="B253" s="41"/>
      <c r="C253" s="41" t="s">
        <v>558</v>
      </c>
      <c r="D253" s="42" t="s">
        <v>559</v>
      </c>
      <c r="E253" s="10">
        <f>Source!DN120</f>
        <v>75</v>
      </c>
      <c r="F253" s="44"/>
      <c r="G253" s="43"/>
      <c r="H253" s="10"/>
      <c r="I253" s="45">
        <f>SUM(Q248:Q252)</f>
        <v>6058.32</v>
      </c>
      <c r="J253" s="10">
        <f>Source!BZ120</f>
        <v>68</v>
      </c>
      <c r="K253" s="45">
        <f>SUM(R248:R252)</f>
        <v>112054.66</v>
      </c>
    </row>
    <row r="254" spans="1:11" ht="14.25">
      <c r="A254" s="40"/>
      <c r="B254" s="41"/>
      <c r="C254" s="41" t="s">
        <v>560</v>
      </c>
      <c r="D254" s="42" t="s">
        <v>559</v>
      </c>
      <c r="E254" s="10">
        <f>Source!DO120</f>
        <v>70</v>
      </c>
      <c r="F254" s="44"/>
      <c r="G254" s="43"/>
      <c r="H254" s="10"/>
      <c r="I254" s="45">
        <f>SUM(S248:S253)</f>
        <v>5654.43</v>
      </c>
      <c r="J254" s="10">
        <f>Source!CA120</f>
        <v>41</v>
      </c>
      <c r="K254" s="45">
        <f>SUM(T248:T253)</f>
        <v>67562.37</v>
      </c>
    </row>
    <row r="255" spans="1:11" ht="14.25">
      <c r="A255" s="40"/>
      <c r="B255" s="41"/>
      <c r="C255" s="41" t="s">
        <v>561</v>
      </c>
      <c r="D255" s="42" t="s">
        <v>559</v>
      </c>
      <c r="E255" s="10">
        <f>175</f>
        <v>175</v>
      </c>
      <c r="F255" s="44"/>
      <c r="G255" s="43"/>
      <c r="H255" s="10"/>
      <c r="I255" s="45">
        <f>SUM(U248:U254)</f>
        <v>0</v>
      </c>
      <c r="J255" s="10">
        <f>167</f>
        <v>167</v>
      </c>
      <c r="K255" s="45">
        <f>SUM(V248:V254)</f>
        <v>0</v>
      </c>
    </row>
    <row r="256" spans="1:28" ht="14.25">
      <c r="A256" s="40"/>
      <c r="B256" s="41"/>
      <c r="C256" s="41" t="s">
        <v>562</v>
      </c>
      <c r="D256" s="42" t="s">
        <v>563</v>
      </c>
      <c r="E256" s="10">
        <f>Source!AQ120</f>
        <v>65</v>
      </c>
      <c r="F256" s="44"/>
      <c r="G256" s="43" t="str">
        <f>Source!DI120</f>
        <v>)*1,3</v>
      </c>
      <c r="H256" s="10">
        <f>Source!AV120</f>
        <v>1</v>
      </c>
      <c r="I256" s="45">
        <f>Source!U120</f>
        <v>507</v>
      </c>
      <c r="J256" s="10"/>
      <c r="K256" s="45"/>
      <c r="AB256" s="48">
        <f>I256</f>
        <v>507</v>
      </c>
    </row>
    <row r="257" spans="1:27" ht="15">
      <c r="A257" s="51"/>
      <c r="B257" s="51"/>
      <c r="C257" s="52" t="s">
        <v>564</v>
      </c>
      <c r="D257" s="51"/>
      <c r="E257" s="51"/>
      <c r="F257" s="51"/>
      <c r="G257" s="51"/>
      <c r="H257" s="53">
        <f>I249+I250+I252+I253+I254+I255</f>
        <v>19790.510000000002</v>
      </c>
      <c r="I257" s="53"/>
      <c r="J257" s="53">
        <f>K249+K250+K252+K253+K254+K255</f>
        <v>344403.29000000004</v>
      </c>
      <c r="K257" s="53"/>
      <c r="O257" s="48">
        <f>H257</f>
        <v>19790.510000000002</v>
      </c>
      <c r="P257" s="48">
        <f>J257</f>
        <v>344403.29000000004</v>
      </c>
      <c r="X257">
        <f>IF(Source!BI120&lt;=1,I249+I250+I252+I253+I254+I255-0,0)</f>
        <v>0</v>
      </c>
      <c r="Y257">
        <f>IF(Source!BI120=2,I249+I250+I252+I253+I254+I255-0,0)</f>
        <v>0</v>
      </c>
      <c r="Z257">
        <f>IF(Source!BI120=3,I249+I250+I252+I253+I254+I255-0,0)</f>
        <v>0</v>
      </c>
      <c r="AA257">
        <f>IF(Source!BI120=4,I249+I250+I252+I253+I254+I255,0)</f>
        <v>19790.510000000002</v>
      </c>
    </row>
    <row r="259" spans="1:22" ht="14.25">
      <c r="A259" s="40" t="str">
        <f>Source!E121</f>
        <v>21</v>
      </c>
      <c r="B259" s="41" t="str">
        <f>Source!F121</f>
        <v>2.1-8-3</v>
      </c>
      <c r="C259" s="41" t="str">
        <f>Source!G121</f>
        <v>АВТОЛАБОРАТОРИИ</v>
      </c>
      <c r="D259" s="42" t="str">
        <f>Source!H121</f>
        <v>маш.-ч</v>
      </c>
      <c r="E259" s="10">
        <f>Source!I121</f>
        <v>72</v>
      </c>
      <c r="F259" s="44"/>
      <c r="G259" s="43"/>
      <c r="H259" s="10"/>
      <c r="I259" s="45"/>
      <c r="J259" s="10"/>
      <c r="K259" s="45"/>
      <c r="Q259">
        <f>ROUND((Source!DN121/100)*ROUND((Source!AF121*Source!AV121)*Source!I121,2),2)</f>
        <v>0</v>
      </c>
      <c r="R259">
        <f>Source!X121</f>
        <v>0</v>
      </c>
      <c r="S259">
        <f>ROUND((Source!DO121/100)*ROUND((Source!AF121*Source!AV121)*Source!I121,2),2)</f>
        <v>0</v>
      </c>
      <c r="T259">
        <f>Source!Y121</f>
        <v>0</v>
      </c>
      <c r="U259">
        <f>ROUND((175/100)*ROUND((Source!AE121*Source!AV121)*Source!I121,2),2)</f>
        <v>2924.46</v>
      </c>
      <c r="V259">
        <f>ROUND((167/100)*ROUND(Source!CS121*Source!I121,2),2)</f>
        <v>56931.72</v>
      </c>
    </row>
    <row r="260" spans="1:23" ht="14.25">
      <c r="A260" s="40"/>
      <c r="B260" s="41"/>
      <c r="C260" s="41" t="s">
        <v>554</v>
      </c>
      <c r="D260" s="42"/>
      <c r="E260" s="10"/>
      <c r="F260" s="44">
        <f>Source!AO121</f>
        <v>0</v>
      </c>
      <c r="G260" s="43">
        <f>Source!DG121</f>
      </c>
      <c r="H260" s="10">
        <f>Source!AV121</f>
        <v>1</v>
      </c>
      <c r="I260" s="45">
        <f>ROUND((Source!AF121*Source!AV121)*Source!I121,2)</f>
        <v>0</v>
      </c>
      <c r="J260" s="10">
        <f>IF(Source!BA121&lt;&gt;0,Source!BA121,1)</f>
        <v>1</v>
      </c>
      <c r="K260" s="45">
        <f>Source!S121</f>
        <v>0</v>
      </c>
      <c r="W260">
        <f>ROUND((Source!AF121*Source!AV121)*Source!I121,2)</f>
        <v>0</v>
      </c>
    </row>
    <row r="261" spans="1:11" ht="14.25">
      <c r="A261" s="40"/>
      <c r="B261" s="41"/>
      <c r="C261" s="41" t="s">
        <v>555</v>
      </c>
      <c r="D261" s="42"/>
      <c r="E261" s="10"/>
      <c r="F261" s="44">
        <f>Source!AM121</f>
        <v>128.38</v>
      </c>
      <c r="G261" s="43">
        <f>Source!DE121</f>
      </c>
      <c r="H261" s="10">
        <f>Source!AV121</f>
        <v>1</v>
      </c>
      <c r="I261" s="45">
        <f>ROUND(((((Source!ET121)-(Source!EU121))+Source!AE121)*Source!AV121)*Source!I121,2)</f>
        <v>9243.36</v>
      </c>
      <c r="J261" s="10">
        <f>IF(Source!BB121&lt;&gt;0,Source!BB121,1)</f>
        <v>9</v>
      </c>
      <c r="K261" s="45">
        <f>Source!Q121</f>
        <v>83190.24</v>
      </c>
    </row>
    <row r="262" spans="1:23" ht="14.25">
      <c r="A262" s="40"/>
      <c r="B262" s="41"/>
      <c r="C262" s="41" t="s">
        <v>556</v>
      </c>
      <c r="D262" s="42"/>
      <c r="E262" s="10"/>
      <c r="F262" s="44">
        <f>Source!AN121</f>
        <v>23.21</v>
      </c>
      <c r="G262" s="43">
        <f>Source!DF121</f>
      </c>
      <c r="H262" s="10">
        <f>Source!AV121</f>
        <v>1</v>
      </c>
      <c r="I262" s="47">
        <f>ROUND((Source!AE121*Source!AV121)*Source!I121,2)</f>
        <v>1671.12</v>
      </c>
      <c r="J262" s="10">
        <f>IF(Source!BS121&lt;&gt;0,Source!BS121,1)</f>
        <v>20.4</v>
      </c>
      <c r="K262" s="47">
        <f>Source!R121</f>
        <v>34090.85</v>
      </c>
      <c r="W262">
        <f>ROUND((Source!AE121*Source!AV121)*Source!I121,2)</f>
        <v>1671.12</v>
      </c>
    </row>
    <row r="263" spans="1:11" ht="14.25">
      <c r="A263" s="40"/>
      <c r="B263" s="41"/>
      <c r="C263" s="41" t="s">
        <v>557</v>
      </c>
      <c r="D263" s="42"/>
      <c r="E263" s="10"/>
      <c r="F263" s="44">
        <f>Source!AL121</f>
        <v>0</v>
      </c>
      <c r="G263" s="43">
        <f>Source!DD121</f>
      </c>
      <c r="H263" s="10">
        <f>Source!AW121</f>
        <v>1</v>
      </c>
      <c r="I263" s="45">
        <f>ROUND((Source!AC121*Source!AW121)*Source!I121,2)</f>
        <v>0</v>
      </c>
      <c r="J263" s="10">
        <f>IF(Source!BC121&lt;&gt;0,Source!BC121,1)</f>
        <v>1</v>
      </c>
      <c r="K263" s="45">
        <f>Source!P121</f>
        <v>0</v>
      </c>
    </row>
    <row r="264" spans="1:11" ht="14.25">
      <c r="A264" s="40"/>
      <c r="B264" s="41"/>
      <c r="C264" s="41" t="s">
        <v>558</v>
      </c>
      <c r="D264" s="42" t="s">
        <v>559</v>
      </c>
      <c r="E264" s="10">
        <f>Source!DN121</f>
        <v>0</v>
      </c>
      <c r="F264" s="44"/>
      <c r="G264" s="43"/>
      <c r="H264" s="10"/>
      <c r="I264" s="45">
        <f>SUM(Q259:Q263)</f>
        <v>0</v>
      </c>
      <c r="J264" s="10">
        <f>Source!AT121</f>
        <v>0</v>
      </c>
      <c r="K264" s="45">
        <f>SUM(R259:R263)</f>
        <v>0</v>
      </c>
    </row>
    <row r="265" spans="1:11" ht="14.25">
      <c r="A265" s="40"/>
      <c r="B265" s="41"/>
      <c r="C265" s="41" t="s">
        <v>560</v>
      </c>
      <c r="D265" s="42" t="s">
        <v>559</v>
      </c>
      <c r="E265" s="10">
        <f>Source!DO121</f>
        <v>0</v>
      </c>
      <c r="F265" s="44"/>
      <c r="G265" s="43"/>
      <c r="H265" s="10"/>
      <c r="I265" s="45">
        <f>SUM(S259:S264)</f>
        <v>0</v>
      </c>
      <c r="J265" s="10">
        <f>Source!AU121</f>
        <v>0</v>
      </c>
      <c r="K265" s="45">
        <f>SUM(T259:T264)</f>
        <v>0</v>
      </c>
    </row>
    <row r="266" spans="1:11" ht="14.25">
      <c r="A266" s="40"/>
      <c r="B266" s="41"/>
      <c r="C266" s="41" t="s">
        <v>561</v>
      </c>
      <c r="D266" s="42" t="s">
        <v>559</v>
      </c>
      <c r="E266" s="10">
        <f>175</f>
        <v>175</v>
      </c>
      <c r="F266" s="44"/>
      <c r="G266" s="43"/>
      <c r="H266" s="10"/>
      <c r="I266" s="45">
        <f>SUM(U259:U265)</f>
        <v>2924.46</v>
      </c>
      <c r="J266" s="10">
        <f>167</f>
        <v>167</v>
      </c>
      <c r="K266" s="45">
        <f>SUM(V259:V265)</f>
        <v>56931.72</v>
      </c>
    </row>
    <row r="267" spans="1:28" ht="14.25">
      <c r="A267" s="40"/>
      <c r="B267" s="41"/>
      <c r="C267" s="41" t="s">
        <v>562</v>
      </c>
      <c r="D267" s="42" t="s">
        <v>563</v>
      </c>
      <c r="E267" s="10">
        <f>Source!AQ121</f>
        <v>0</v>
      </c>
      <c r="F267" s="44"/>
      <c r="G267" s="43">
        <f>Source!DI121</f>
      </c>
      <c r="H267" s="10">
        <f>Source!AV121</f>
        <v>1</v>
      </c>
      <c r="I267" s="45">
        <f>Source!U121</f>
        <v>0</v>
      </c>
      <c r="J267" s="10"/>
      <c r="K267" s="45"/>
      <c r="AB267" s="48">
        <f>I267</f>
        <v>0</v>
      </c>
    </row>
    <row r="268" spans="1:27" ht="15">
      <c r="A268" s="51"/>
      <c r="B268" s="51"/>
      <c r="C268" s="52" t="s">
        <v>564</v>
      </c>
      <c r="D268" s="51"/>
      <c r="E268" s="51"/>
      <c r="F268" s="51"/>
      <c r="G268" s="51"/>
      <c r="H268" s="53">
        <f>I260+I261+I263+I264+I265+I266</f>
        <v>12167.82</v>
      </c>
      <c r="I268" s="53"/>
      <c r="J268" s="53">
        <f>K260+K261+K263+K264+K265+K266</f>
        <v>140121.96000000002</v>
      </c>
      <c r="K268" s="53"/>
      <c r="O268" s="48">
        <f>H268</f>
        <v>12167.82</v>
      </c>
      <c r="P268" s="48">
        <f>J268</f>
        <v>140121.96000000002</v>
      </c>
      <c r="X268">
        <f>IF(Source!BI121&lt;=1,I260+I261+I263+I264+I265+I266-0,0)</f>
        <v>12167.82</v>
      </c>
      <c r="Y268">
        <f>IF(Source!BI121=2,I260+I261+I263+I264+I265+I266-0,0)</f>
        <v>0</v>
      </c>
      <c r="Z268">
        <f>IF(Source!BI121=3,I260+I261+I263+I264+I265+I266-0,0)</f>
        <v>0</v>
      </c>
      <c r="AA268">
        <f>IF(Source!BI121=4,I260+I261+I263+I264+I265+I266,0)</f>
        <v>0</v>
      </c>
    </row>
    <row r="270" spans="1:22" ht="65.25">
      <c r="A270" s="40" t="str">
        <f>Source!E122</f>
        <v>22</v>
      </c>
      <c r="B270" s="41" t="s">
        <v>585</v>
      </c>
      <c r="C270" s="41" t="str">
        <f>Source!G122</f>
        <v>ИСПЫТАНИЕ ОБРАЗЦОВ КАБЕЛЕЙ НАПРЯЖЕНИЕМ 6-10 КВ, ОТЕЧЕСТВЕННОГО И ИМПОРТНОГО ПРОИЗВОДСТВА</v>
      </c>
      <c r="D270" s="42" t="str">
        <f>Source!H122</f>
        <v>испытание</v>
      </c>
      <c r="E270" s="10">
        <f>Source!I122</f>
        <v>3</v>
      </c>
      <c r="F270" s="44"/>
      <c r="G270" s="43"/>
      <c r="H270" s="10"/>
      <c r="I270" s="45"/>
      <c r="J270" s="10"/>
      <c r="K270" s="45"/>
      <c r="Q270">
        <f>ROUND((Source!DN122/100)*ROUND((Source!AF122*Source!AV122)*Source!I122,2),2)</f>
        <v>2003.89</v>
      </c>
      <c r="R270">
        <f>Source!X122</f>
        <v>37063.92</v>
      </c>
      <c r="S270">
        <f>ROUND((Source!DO122/100)*ROUND((Source!AF122*Source!AV122)*Source!I122,2),2)</f>
        <v>1870.3</v>
      </c>
      <c r="T270">
        <f>Source!Y122</f>
        <v>22347.36</v>
      </c>
      <c r="U270">
        <f>ROUND((175/100)*ROUND((Source!AE122*Source!AV122)*Source!I122,2),2)</f>
        <v>0</v>
      </c>
      <c r="V270">
        <f>ROUND((167/100)*ROUND(Source!CS122*Source!I122,2),2)</f>
        <v>0</v>
      </c>
    </row>
    <row r="271" spans="1:23" ht="14.25">
      <c r="A271" s="40"/>
      <c r="B271" s="41"/>
      <c r="C271" s="41" t="s">
        <v>554</v>
      </c>
      <c r="D271" s="42"/>
      <c r="E271" s="10"/>
      <c r="F271" s="44">
        <f>Source!AO122</f>
        <v>685.09</v>
      </c>
      <c r="G271" s="43" t="str">
        <f>Source!DG122</f>
        <v>)*1,3</v>
      </c>
      <c r="H271" s="10">
        <f>Source!AV122</f>
        <v>1</v>
      </c>
      <c r="I271" s="45">
        <f>ROUND((Source!AF122*Source!AV122)*Source!I122,2)</f>
        <v>2671.85</v>
      </c>
      <c r="J271" s="10">
        <f>IF(Source!BA122&lt;&gt;0,Source!BA122,1)</f>
        <v>20.4</v>
      </c>
      <c r="K271" s="45">
        <f>Source!S122</f>
        <v>54505.76</v>
      </c>
      <c r="W271">
        <f>ROUND((Source!AF122*Source!AV122)*Source!I122,2)</f>
        <v>2671.85</v>
      </c>
    </row>
    <row r="272" spans="1:11" ht="14.25">
      <c r="A272" s="40"/>
      <c r="B272" s="41"/>
      <c r="C272" s="41" t="s">
        <v>555</v>
      </c>
      <c r="D272" s="42"/>
      <c r="E272" s="10"/>
      <c r="F272" s="44">
        <f>Source!AM122</f>
        <v>0</v>
      </c>
      <c r="G272" s="43">
        <f>Source!DE122</f>
      </c>
      <c r="H272" s="10">
        <f>Source!AV122</f>
        <v>1</v>
      </c>
      <c r="I272" s="45">
        <f>ROUND(((((Source!ET122)-(Source!EU122))+Source!AE122)*Source!AV122)*Source!I122,2)</f>
        <v>0</v>
      </c>
      <c r="J272" s="10">
        <f>IF(Source!BB122&lt;&gt;0,Source!BB122,1)</f>
        <v>1</v>
      </c>
      <c r="K272" s="45">
        <f>Source!Q122</f>
        <v>0</v>
      </c>
    </row>
    <row r="273" spans="1:23" ht="14.25">
      <c r="A273" s="40"/>
      <c r="B273" s="41"/>
      <c r="C273" s="41" t="s">
        <v>556</v>
      </c>
      <c r="D273" s="42"/>
      <c r="E273" s="10"/>
      <c r="F273" s="44">
        <f>Source!AN122</f>
        <v>0</v>
      </c>
      <c r="G273" s="43">
        <f>Source!DF122</f>
      </c>
      <c r="H273" s="10">
        <f>Source!AV122</f>
        <v>1</v>
      </c>
      <c r="I273" s="47">
        <f>ROUND((Source!AE122*Source!AV122)*Source!I122,2)</f>
        <v>0</v>
      </c>
      <c r="J273" s="10">
        <f>IF(Source!BS122&lt;&gt;0,Source!BS122,1)</f>
        <v>1</v>
      </c>
      <c r="K273" s="47">
        <f>Source!R122</f>
        <v>0</v>
      </c>
      <c r="W273">
        <f>ROUND((Source!AE122*Source!AV122)*Source!I122,2)</f>
        <v>0</v>
      </c>
    </row>
    <row r="274" spans="1:11" ht="14.25">
      <c r="A274" s="40"/>
      <c r="B274" s="41"/>
      <c r="C274" s="41" t="s">
        <v>557</v>
      </c>
      <c r="D274" s="42"/>
      <c r="E274" s="10"/>
      <c r="F274" s="44">
        <f>Source!AL122</f>
        <v>0</v>
      </c>
      <c r="G274" s="43">
        <f>Source!DD122</f>
      </c>
      <c r="H274" s="10">
        <f>Source!AW122</f>
        <v>1</v>
      </c>
      <c r="I274" s="45">
        <f>ROUND((Source!AC122*Source!AW122)*Source!I122,2)</f>
        <v>0</v>
      </c>
      <c r="J274" s="10">
        <f>IF(Source!BC122&lt;&gt;0,Source!BC122,1)</f>
        <v>1</v>
      </c>
      <c r="K274" s="45">
        <f>Source!P122</f>
        <v>0</v>
      </c>
    </row>
    <row r="275" spans="1:11" ht="14.25">
      <c r="A275" s="40"/>
      <c r="B275" s="41"/>
      <c r="C275" s="41" t="s">
        <v>558</v>
      </c>
      <c r="D275" s="42" t="s">
        <v>559</v>
      </c>
      <c r="E275" s="10">
        <f>Source!DN122</f>
        <v>75</v>
      </c>
      <c r="F275" s="44"/>
      <c r="G275" s="43"/>
      <c r="H275" s="10"/>
      <c r="I275" s="45">
        <f>SUM(Q270:Q274)</f>
        <v>2003.89</v>
      </c>
      <c r="J275" s="10">
        <f>Source!BZ122</f>
        <v>68</v>
      </c>
      <c r="K275" s="45">
        <f>SUM(R270:R274)</f>
        <v>37063.92</v>
      </c>
    </row>
    <row r="276" spans="1:11" ht="14.25">
      <c r="A276" s="40"/>
      <c r="B276" s="41"/>
      <c r="C276" s="41" t="s">
        <v>560</v>
      </c>
      <c r="D276" s="42" t="s">
        <v>559</v>
      </c>
      <c r="E276" s="10">
        <f>Source!DO122</f>
        <v>70</v>
      </c>
      <c r="F276" s="44"/>
      <c r="G276" s="43"/>
      <c r="H276" s="10"/>
      <c r="I276" s="45">
        <f>SUM(S270:S275)</f>
        <v>1870.3</v>
      </c>
      <c r="J276" s="10">
        <f>Source!CA122</f>
        <v>41</v>
      </c>
      <c r="K276" s="45">
        <f>SUM(T270:T275)</f>
        <v>22347.36</v>
      </c>
    </row>
    <row r="277" spans="1:11" ht="14.25">
      <c r="A277" s="40"/>
      <c r="B277" s="41"/>
      <c r="C277" s="41" t="s">
        <v>561</v>
      </c>
      <c r="D277" s="42" t="s">
        <v>559</v>
      </c>
      <c r="E277" s="10">
        <f>175</f>
        <v>175</v>
      </c>
      <c r="F277" s="44"/>
      <c r="G277" s="43"/>
      <c r="H277" s="10"/>
      <c r="I277" s="45">
        <f>SUM(U270:U276)</f>
        <v>0</v>
      </c>
      <c r="J277" s="10">
        <f>167</f>
        <v>167</v>
      </c>
      <c r="K277" s="45">
        <f>SUM(V270:V276)</f>
        <v>0</v>
      </c>
    </row>
    <row r="278" spans="1:28" ht="14.25">
      <c r="A278" s="40"/>
      <c r="B278" s="41"/>
      <c r="C278" s="41" t="s">
        <v>562</v>
      </c>
      <c r="D278" s="42" t="s">
        <v>563</v>
      </c>
      <c r="E278" s="10">
        <f>Source!AQ122</f>
        <v>43</v>
      </c>
      <c r="F278" s="44"/>
      <c r="G278" s="43" t="str">
        <f>Source!DI122</f>
        <v>)*1,3</v>
      </c>
      <c r="H278" s="10">
        <f>Source!AV122</f>
        <v>1</v>
      </c>
      <c r="I278" s="45">
        <f>Source!U122</f>
        <v>167.7</v>
      </c>
      <c r="J278" s="10"/>
      <c r="K278" s="45"/>
      <c r="AB278" s="48">
        <f>I278</f>
        <v>167.7</v>
      </c>
    </row>
    <row r="279" spans="1:27" ht="15">
      <c r="A279" s="51"/>
      <c r="B279" s="51"/>
      <c r="C279" s="52" t="s">
        <v>564</v>
      </c>
      <c r="D279" s="51"/>
      <c r="E279" s="51"/>
      <c r="F279" s="51"/>
      <c r="G279" s="51"/>
      <c r="H279" s="53">
        <f>I271+I272+I274+I275+I276+I277</f>
        <v>6546.04</v>
      </c>
      <c r="I279" s="53"/>
      <c r="J279" s="53">
        <f>K271+K272+K274+K275+K276+K277</f>
        <v>113917.04</v>
      </c>
      <c r="K279" s="53"/>
      <c r="O279" s="48">
        <f>H279</f>
        <v>6546.04</v>
      </c>
      <c r="P279" s="48">
        <f>J279</f>
        <v>113917.04</v>
      </c>
      <c r="X279">
        <f>IF(Source!BI122&lt;=1,I271+I272+I274+I275+I276+I277-0,0)</f>
        <v>0</v>
      </c>
      <c r="Y279">
        <f>IF(Source!BI122=2,I271+I272+I274+I275+I276+I277-0,0)</f>
        <v>0</v>
      </c>
      <c r="Z279">
        <f>IF(Source!BI122=3,I271+I272+I274+I275+I276+I277-0,0)</f>
        <v>0</v>
      </c>
      <c r="AA279">
        <f>IF(Source!BI122=4,I271+I272+I274+I275+I276+I277,0)</f>
        <v>6546.04</v>
      </c>
    </row>
    <row r="282" spans="1:32" ht="15">
      <c r="A282" s="56" t="str">
        <f>CONCATENATE("Итого по подразделу: ",IF(Source!G124&lt;&gt;"Новый подраздел",Source!G124,""))</f>
        <v>Итого по подразделу: Пусконаладочные работы</v>
      </c>
      <c r="B282" s="56"/>
      <c r="C282" s="56"/>
      <c r="D282" s="56"/>
      <c r="E282" s="56"/>
      <c r="F282" s="56"/>
      <c r="G282" s="56"/>
      <c r="H282" s="50">
        <f>SUM(O247:O281)</f>
        <v>38504.37</v>
      </c>
      <c r="I282" s="55"/>
      <c r="J282" s="50">
        <f>SUM(P247:P281)</f>
        <v>598442.29</v>
      </c>
      <c r="K282" s="55"/>
      <c r="AF282" s="57" t="str">
        <f>CONCATENATE("Итого по подразделу: ",IF(Source!G124&lt;&gt;"Новый подраздел",Source!G124,""))</f>
        <v>Итого по подразделу: Пусконаладочные работы</v>
      </c>
    </row>
    <row r="284" spans="1:31" ht="16.5">
      <c r="A284" s="38" t="str">
        <f>CONCATENATE("Подраздел: ",IF(Source!G150&lt;&gt;"Новый подраздел",Source!G150,""))</f>
        <v>Подраздел: Восстановление благоустройства</v>
      </c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AE284" s="39" t="str">
        <f>CONCATENATE("Подраздел: ",IF(Source!G150&lt;&gt;"Новый подраздел",Source!G150,""))</f>
        <v>Подраздел: Восстановление благоустройства</v>
      </c>
    </row>
    <row r="285" spans="1:22" ht="28.5">
      <c r="A285" s="40" t="str">
        <f>Source!E154</f>
        <v>23</v>
      </c>
      <c r="B285" s="41" t="str">
        <f>Source!F154</f>
        <v>6.57-2-9</v>
      </c>
      <c r="C285" s="41" t="str">
        <f>Source!G154</f>
        <v>РАЗБОРКА АСФАЛЬТОБЕТОННЫХ ПОКРЫТИЙ толщ.40 мм тротуар</v>
      </c>
      <c r="D285" s="42" t="str">
        <f>Source!H154</f>
        <v>100 м2</v>
      </c>
      <c r="E285" s="10">
        <f>Source!I154</f>
        <v>0.39</v>
      </c>
      <c r="F285" s="44"/>
      <c r="G285" s="43"/>
      <c r="H285" s="10"/>
      <c r="I285" s="45"/>
      <c r="J285" s="10"/>
      <c r="K285" s="45"/>
      <c r="Q285">
        <f>ROUND((Source!DN154/100)*ROUND((Source!AF154*Source!AV154)*Source!I154,2),2)</f>
        <v>139.66</v>
      </c>
      <c r="R285">
        <f>Source!X154</f>
        <v>2421.62</v>
      </c>
      <c r="S285">
        <f>ROUND((Source!DO154/100)*ROUND((Source!AF154*Source!AV154)*Source!I154,2),2)</f>
        <v>96.01</v>
      </c>
      <c r="T285">
        <f>Source!Y154</f>
        <v>1460.1</v>
      </c>
      <c r="U285">
        <f>ROUND((175/100)*ROUND((Source!AE154*Source!AV154)*Source!I154,2),2)</f>
        <v>73.57</v>
      </c>
      <c r="V285">
        <f>ROUND((167/100)*ROUND(Source!CS154*Source!I154,2),2)</f>
        <v>1432.14</v>
      </c>
    </row>
    <row r="286" ht="12.75">
      <c r="C286" s="46" t="str">
        <f>"Объем: "&amp;Source!I154&amp;"=39/"&amp;"100"</f>
        <v>Объем: 0,39=39/100</v>
      </c>
    </row>
    <row r="287" spans="1:23" ht="14.25">
      <c r="A287" s="40"/>
      <c r="B287" s="41"/>
      <c r="C287" s="41" t="s">
        <v>554</v>
      </c>
      <c r="D287" s="42"/>
      <c r="E287" s="10"/>
      <c r="F287" s="44">
        <f>Source!AO154</f>
        <v>427.52</v>
      </c>
      <c r="G287" s="43">
        <f>Source!DG154</f>
      </c>
      <c r="H287" s="10">
        <f>Source!AV154</f>
        <v>1.047</v>
      </c>
      <c r="I287" s="45">
        <f>ROUND((Source!AF154*Source!AV154)*Source!I154,2)</f>
        <v>174.57</v>
      </c>
      <c r="J287" s="10">
        <f>IF(Source!BA154&lt;&gt;0,Source!BA154,1)</f>
        <v>20.4</v>
      </c>
      <c r="K287" s="45">
        <f>Source!S154</f>
        <v>3561.21</v>
      </c>
      <c r="W287">
        <f>ROUND((Source!AF154*Source!AV154)*Source!I154,2)</f>
        <v>174.57</v>
      </c>
    </row>
    <row r="288" spans="1:11" ht="14.25">
      <c r="A288" s="40"/>
      <c r="B288" s="41"/>
      <c r="C288" s="41" t="s">
        <v>555</v>
      </c>
      <c r="D288" s="42"/>
      <c r="E288" s="10"/>
      <c r="F288" s="44">
        <f>Source!AM154</f>
        <v>344.81</v>
      </c>
      <c r="G288" s="43">
        <f>Source!DE154</f>
      </c>
      <c r="H288" s="10">
        <f>Source!AV154</f>
        <v>1.047</v>
      </c>
      <c r="I288" s="45">
        <f>ROUND(((((Source!ET154)-(Source!EU154))+Source!AE154)*Source!AV154)*Source!I154,2)</f>
        <v>140.8</v>
      </c>
      <c r="J288" s="10">
        <f>IF(Source!BB154&lt;&gt;0,Source!BB154,1)</f>
        <v>8.93</v>
      </c>
      <c r="K288" s="45">
        <f>Source!Q154</f>
        <v>1257.31</v>
      </c>
    </row>
    <row r="289" spans="1:23" ht="14.25">
      <c r="A289" s="40"/>
      <c r="B289" s="41"/>
      <c r="C289" s="41" t="s">
        <v>556</v>
      </c>
      <c r="D289" s="42"/>
      <c r="E289" s="10"/>
      <c r="F289" s="44">
        <f>Source!AN154</f>
        <v>102.95</v>
      </c>
      <c r="G289" s="43">
        <f>Source!DF154</f>
      </c>
      <c r="H289" s="10">
        <f>Source!AV154</f>
        <v>1.047</v>
      </c>
      <c r="I289" s="47">
        <f>ROUND((Source!AE154*Source!AV154)*Source!I154,2)</f>
        <v>42.04</v>
      </c>
      <c r="J289" s="10">
        <f>IF(Source!BS154&lt;&gt;0,Source!BS154,1)</f>
        <v>20.4</v>
      </c>
      <c r="K289" s="47">
        <f>Source!R154</f>
        <v>857.57</v>
      </c>
      <c r="W289">
        <f>ROUND((Source!AE154*Source!AV154)*Source!I154,2)</f>
        <v>42.04</v>
      </c>
    </row>
    <row r="290" spans="1:11" ht="14.25">
      <c r="A290" s="40"/>
      <c r="B290" s="41"/>
      <c r="C290" s="41" t="s">
        <v>557</v>
      </c>
      <c r="D290" s="42"/>
      <c r="E290" s="10"/>
      <c r="F290" s="44">
        <f>Source!AL154</f>
        <v>0</v>
      </c>
      <c r="G290" s="43">
        <f>Source!DD154</f>
      </c>
      <c r="H290" s="10">
        <f>Source!AW154</f>
        <v>1</v>
      </c>
      <c r="I290" s="45">
        <f>ROUND((Source!AC154*Source!AW154)*Source!I154,2)</f>
        <v>0</v>
      </c>
      <c r="J290" s="10">
        <f>IF(Source!BC154&lt;&gt;0,Source!BC154,1)</f>
        <v>1</v>
      </c>
      <c r="K290" s="45">
        <f>Source!P154</f>
        <v>0</v>
      </c>
    </row>
    <row r="291" spans="1:11" ht="14.25">
      <c r="A291" s="40"/>
      <c r="B291" s="41"/>
      <c r="C291" s="41" t="s">
        <v>558</v>
      </c>
      <c r="D291" s="42" t="s">
        <v>559</v>
      </c>
      <c r="E291" s="10">
        <f>Source!DN154</f>
        <v>80</v>
      </c>
      <c r="F291" s="44"/>
      <c r="G291" s="43"/>
      <c r="H291" s="10"/>
      <c r="I291" s="45">
        <f>SUM(Q285:Q290)</f>
        <v>139.66</v>
      </c>
      <c r="J291" s="10">
        <f>Source!BZ154</f>
        <v>68</v>
      </c>
      <c r="K291" s="45">
        <f>SUM(R285:R290)</f>
        <v>2421.62</v>
      </c>
    </row>
    <row r="292" spans="1:11" ht="14.25">
      <c r="A292" s="40"/>
      <c r="B292" s="41"/>
      <c r="C292" s="41" t="s">
        <v>560</v>
      </c>
      <c r="D292" s="42" t="s">
        <v>559</v>
      </c>
      <c r="E292" s="10">
        <f>Source!DO154</f>
        <v>55</v>
      </c>
      <c r="F292" s="44"/>
      <c r="G292" s="43"/>
      <c r="H292" s="10"/>
      <c r="I292" s="45">
        <f>SUM(S285:S291)</f>
        <v>96.01</v>
      </c>
      <c r="J292" s="10">
        <f>Source!CA154</f>
        <v>41</v>
      </c>
      <c r="K292" s="45">
        <f>SUM(T285:T291)</f>
        <v>1460.1</v>
      </c>
    </row>
    <row r="293" spans="1:11" ht="14.25">
      <c r="A293" s="40"/>
      <c r="B293" s="41"/>
      <c r="C293" s="41" t="s">
        <v>561</v>
      </c>
      <c r="D293" s="42" t="s">
        <v>559</v>
      </c>
      <c r="E293" s="10">
        <f>175</f>
        <v>175</v>
      </c>
      <c r="F293" s="44"/>
      <c r="G293" s="43"/>
      <c r="H293" s="10"/>
      <c r="I293" s="45">
        <f>SUM(U285:U292)</f>
        <v>73.57</v>
      </c>
      <c r="J293" s="10">
        <f>167</f>
        <v>167</v>
      </c>
      <c r="K293" s="45">
        <f>SUM(V285:V292)</f>
        <v>1432.14</v>
      </c>
    </row>
    <row r="294" spans="1:28" ht="14.25">
      <c r="A294" s="40"/>
      <c r="B294" s="41"/>
      <c r="C294" s="41" t="s">
        <v>562</v>
      </c>
      <c r="D294" s="42" t="s">
        <v>563</v>
      </c>
      <c r="E294" s="10">
        <f>Source!AQ154</f>
        <v>38.24</v>
      </c>
      <c r="F294" s="44"/>
      <c r="G294" s="43">
        <f>Source!DI154</f>
      </c>
      <c r="H294" s="10">
        <f>Source!AV154</f>
        <v>1.047</v>
      </c>
      <c r="I294" s="45">
        <f>Source!U154</f>
        <v>15.614539200000001</v>
      </c>
      <c r="J294" s="10"/>
      <c r="K294" s="45"/>
      <c r="AB294" s="48">
        <f>I294</f>
        <v>15.614539200000001</v>
      </c>
    </row>
    <row r="295" spans="1:27" ht="15">
      <c r="A295" s="51"/>
      <c r="B295" s="51"/>
      <c r="C295" s="52" t="s">
        <v>564</v>
      </c>
      <c r="D295" s="51"/>
      <c r="E295" s="51"/>
      <c r="F295" s="51"/>
      <c r="G295" s="51"/>
      <c r="H295" s="53">
        <f>I287+I288+I290+I291+I292+I293</f>
        <v>624.6099999999999</v>
      </c>
      <c r="I295" s="53"/>
      <c r="J295" s="53">
        <f>K287+K288+K290+K291+K292+K293</f>
        <v>10132.38</v>
      </c>
      <c r="K295" s="53"/>
      <c r="O295" s="48">
        <f>H295</f>
        <v>624.6099999999999</v>
      </c>
      <c r="P295" s="48">
        <f>J295</f>
        <v>10132.38</v>
      </c>
      <c r="X295">
        <f>IF(Source!BI154&lt;=1,I287+I288+I290+I291+I292+I293-0,0)</f>
        <v>624.6099999999999</v>
      </c>
      <c r="Y295">
        <f>IF(Source!BI154=2,I287+I288+I290+I291+I292+I293-0,0)</f>
        <v>0</v>
      </c>
      <c r="Z295">
        <f>IF(Source!BI154=3,I287+I288+I290+I291+I292+I293-0,0)</f>
        <v>0</v>
      </c>
      <c r="AA295">
        <f>IF(Source!BI154=4,I287+I288+I290+I291+I292+I293,0)</f>
        <v>0</v>
      </c>
    </row>
    <row r="297" spans="1:22" ht="28.5">
      <c r="A297" s="40" t="str">
        <f>Source!E155</f>
        <v>24</v>
      </c>
      <c r="B297" s="41" t="str">
        <f>Source!F155</f>
        <v>6.57-2-9</v>
      </c>
      <c r="C297" s="41" t="str">
        <f>Source!G155</f>
        <v>РАЗБОРКА АСФАЛЬТОБЕТОННЫХ ПОКРЫТИЙ толщ.60 мм тротуар</v>
      </c>
      <c r="D297" s="42" t="str">
        <f>Source!H155</f>
        <v>100 м2</v>
      </c>
      <c r="E297" s="10">
        <f>Source!I155</f>
        <v>0.2398</v>
      </c>
      <c r="F297" s="44"/>
      <c r="G297" s="43"/>
      <c r="H297" s="10"/>
      <c r="I297" s="45"/>
      <c r="J297" s="10"/>
      <c r="K297" s="45"/>
      <c r="Q297">
        <f>ROUND((Source!DN155/100)*ROUND((Source!AF155*Source!AV155)*Source!I155,2),2)</f>
        <v>85.87</v>
      </c>
      <c r="R297">
        <f>Source!X155</f>
        <v>1488.99</v>
      </c>
      <c r="S297">
        <f>ROUND((Source!DO155/100)*ROUND((Source!AF155*Source!AV155)*Source!I155,2),2)</f>
        <v>59.04</v>
      </c>
      <c r="T297">
        <f>Source!Y155</f>
        <v>897.77</v>
      </c>
      <c r="U297">
        <f>ROUND((175/100)*ROUND((Source!AE155*Source!AV155)*Source!I155,2),2)</f>
        <v>45.24</v>
      </c>
      <c r="V297">
        <f>ROUND((167/100)*ROUND(Source!CS155*Source!I155,2),2)</f>
        <v>880.57</v>
      </c>
    </row>
    <row r="298" ht="12.75">
      <c r="C298" s="46" t="str">
        <f>"Объем: "&amp;Source!I155&amp;"=23,98/"&amp;"100"</f>
        <v>Объем: 0,2398=23,98/100</v>
      </c>
    </row>
    <row r="299" spans="1:23" ht="14.25">
      <c r="A299" s="40"/>
      <c r="B299" s="41"/>
      <c r="C299" s="41" t="s">
        <v>554</v>
      </c>
      <c r="D299" s="42"/>
      <c r="E299" s="10"/>
      <c r="F299" s="44">
        <f>Source!AO155</f>
        <v>427.52</v>
      </c>
      <c r="G299" s="43">
        <f>Source!DG155</f>
      </c>
      <c r="H299" s="10">
        <f>Source!AV155</f>
        <v>1.047</v>
      </c>
      <c r="I299" s="45">
        <f>ROUND((Source!AF155*Source!AV155)*Source!I155,2)</f>
        <v>107.34</v>
      </c>
      <c r="J299" s="10">
        <f>IF(Source!BA155&lt;&gt;0,Source!BA155,1)</f>
        <v>20.4</v>
      </c>
      <c r="K299" s="45">
        <f>Source!S155</f>
        <v>2189.69</v>
      </c>
      <c r="W299">
        <f>ROUND((Source!AF155*Source!AV155)*Source!I155,2)</f>
        <v>107.34</v>
      </c>
    </row>
    <row r="300" spans="1:11" ht="14.25">
      <c r="A300" s="40"/>
      <c r="B300" s="41"/>
      <c r="C300" s="41" t="s">
        <v>555</v>
      </c>
      <c r="D300" s="42"/>
      <c r="E300" s="10"/>
      <c r="F300" s="44">
        <f>Source!AM155</f>
        <v>344.81</v>
      </c>
      <c r="G300" s="43">
        <f>Source!DE155</f>
      </c>
      <c r="H300" s="10">
        <f>Source!AV155</f>
        <v>1.047</v>
      </c>
      <c r="I300" s="45">
        <f>ROUND(((((Source!ET155)-(Source!EU155))+Source!AE155)*Source!AV155)*Source!I155,2)</f>
        <v>86.57</v>
      </c>
      <c r="J300" s="10">
        <f>IF(Source!BB155&lt;&gt;0,Source!BB155,1)</f>
        <v>8.93</v>
      </c>
      <c r="K300" s="45">
        <f>Source!Q155</f>
        <v>773.08</v>
      </c>
    </row>
    <row r="301" spans="1:23" ht="14.25">
      <c r="A301" s="40"/>
      <c r="B301" s="41"/>
      <c r="C301" s="41" t="s">
        <v>556</v>
      </c>
      <c r="D301" s="42"/>
      <c r="E301" s="10"/>
      <c r="F301" s="44">
        <f>Source!AN155</f>
        <v>102.95</v>
      </c>
      <c r="G301" s="43">
        <f>Source!DF155</f>
      </c>
      <c r="H301" s="10">
        <f>Source!AV155</f>
        <v>1.047</v>
      </c>
      <c r="I301" s="47">
        <f>ROUND((Source!AE155*Source!AV155)*Source!I155,2)</f>
        <v>25.85</v>
      </c>
      <c r="J301" s="10">
        <f>IF(Source!BS155&lt;&gt;0,Source!BS155,1)</f>
        <v>20.4</v>
      </c>
      <c r="K301" s="47">
        <f>Source!R155</f>
        <v>527.29</v>
      </c>
      <c r="W301">
        <f>ROUND((Source!AE155*Source!AV155)*Source!I155,2)</f>
        <v>25.85</v>
      </c>
    </row>
    <row r="302" spans="1:11" ht="14.25">
      <c r="A302" s="40"/>
      <c r="B302" s="41"/>
      <c r="C302" s="41" t="s">
        <v>557</v>
      </c>
      <c r="D302" s="42"/>
      <c r="E302" s="10"/>
      <c r="F302" s="44">
        <f>Source!AL155</f>
        <v>0</v>
      </c>
      <c r="G302" s="43">
        <f>Source!DD155</f>
      </c>
      <c r="H302" s="10">
        <f>Source!AW155</f>
        <v>1</v>
      </c>
      <c r="I302" s="45">
        <f>ROUND((Source!AC155*Source!AW155)*Source!I155,2)</f>
        <v>0</v>
      </c>
      <c r="J302" s="10">
        <f>IF(Source!BC155&lt;&gt;0,Source!BC155,1)</f>
        <v>1</v>
      </c>
      <c r="K302" s="45">
        <f>Source!P155</f>
        <v>0</v>
      </c>
    </row>
    <row r="303" spans="1:11" ht="14.25">
      <c r="A303" s="40"/>
      <c r="B303" s="41"/>
      <c r="C303" s="41" t="s">
        <v>558</v>
      </c>
      <c r="D303" s="42" t="s">
        <v>559</v>
      </c>
      <c r="E303" s="10">
        <f>Source!DN155</f>
        <v>80</v>
      </c>
      <c r="F303" s="44"/>
      <c r="G303" s="43"/>
      <c r="H303" s="10"/>
      <c r="I303" s="45">
        <f>SUM(Q297:Q302)</f>
        <v>85.87</v>
      </c>
      <c r="J303" s="10">
        <f>Source!BZ155</f>
        <v>68</v>
      </c>
      <c r="K303" s="45">
        <f>SUM(R297:R302)</f>
        <v>1488.99</v>
      </c>
    </row>
    <row r="304" spans="1:11" ht="14.25">
      <c r="A304" s="40"/>
      <c r="B304" s="41"/>
      <c r="C304" s="41" t="s">
        <v>560</v>
      </c>
      <c r="D304" s="42" t="s">
        <v>559</v>
      </c>
      <c r="E304" s="10">
        <f>Source!DO155</f>
        <v>55</v>
      </c>
      <c r="F304" s="44"/>
      <c r="G304" s="43"/>
      <c r="H304" s="10"/>
      <c r="I304" s="45">
        <f>SUM(S297:S303)</f>
        <v>59.04</v>
      </c>
      <c r="J304" s="10">
        <f>Source!CA155</f>
        <v>41</v>
      </c>
      <c r="K304" s="45">
        <f>SUM(T297:T303)</f>
        <v>897.77</v>
      </c>
    </row>
    <row r="305" spans="1:11" ht="14.25">
      <c r="A305" s="40"/>
      <c r="B305" s="41"/>
      <c r="C305" s="41" t="s">
        <v>561</v>
      </c>
      <c r="D305" s="42" t="s">
        <v>559</v>
      </c>
      <c r="E305" s="10">
        <f>175</f>
        <v>175</v>
      </c>
      <c r="F305" s="44"/>
      <c r="G305" s="43"/>
      <c r="H305" s="10"/>
      <c r="I305" s="45">
        <f>SUM(U297:U304)</f>
        <v>45.24</v>
      </c>
      <c r="J305" s="10">
        <f>167</f>
        <v>167</v>
      </c>
      <c r="K305" s="45">
        <f>SUM(V297:V304)</f>
        <v>880.57</v>
      </c>
    </row>
    <row r="306" spans="1:28" ht="14.25">
      <c r="A306" s="40"/>
      <c r="B306" s="41"/>
      <c r="C306" s="41" t="s">
        <v>562</v>
      </c>
      <c r="D306" s="42" t="s">
        <v>563</v>
      </c>
      <c r="E306" s="10">
        <f>Source!AQ155</f>
        <v>38.24</v>
      </c>
      <c r="F306" s="44"/>
      <c r="G306" s="43">
        <f>Source!DI155</f>
      </c>
      <c r="H306" s="10">
        <f>Source!AV155</f>
        <v>1.047</v>
      </c>
      <c r="I306" s="45">
        <f>Source!U155</f>
        <v>9.600939744000001</v>
      </c>
      <c r="J306" s="10"/>
      <c r="K306" s="45"/>
      <c r="AB306" s="48">
        <f>I306</f>
        <v>9.600939744000001</v>
      </c>
    </row>
    <row r="307" spans="1:27" ht="15">
      <c r="A307" s="51"/>
      <c r="B307" s="51"/>
      <c r="C307" s="52" t="s">
        <v>564</v>
      </c>
      <c r="D307" s="51"/>
      <c r="E307" s="51"/>
      <c r="F307" s="51"/>
      <c r="G307" s="51"/>
      <c r="H307" s="53">
        <f>I299+I300+I302+I303+I304+I305</f>
        <v>384.06</v>
      </c>
      <c r="I307" s="53"/>
      <c r="J307" s="53">
        <f>K299+K300+K302+K303+K304+K305</f>
        <v>6230.1</v>
      </c>
      <c r="K307" s="53"/>
      <c r="O307" s="48">
        <f>H307</f>
        <v>384.06</v>
      </c>
      <c r="P307" s="48">
        <f>J307</f>
        <v>6230.1</v>
      </c>
      <c r="X307">
        <f>IF(Source!BI155&lt;=1,I299+I300+I302+I303+I304+I305-0,0)</f>
        <v>384.06</v>
      </c>
      <c r="Y307">
        <f>IF(Source!BI155=2,I299+I300+I302+I303+I304+I305-0,0)</f>
        <v>0</v>
      </c>
      <c r="Z307">
        <f>IF(Source!BI155=3,I299+I300+I302+I303+I304+I305-0,0)</f>
        <v>0</v>
      </c>
      <c r="AA307">
        <f>IF(Source!BI155=4,I299+I300+I302+I303+I304+I305,0)</f>
        <v>0</v>
      </c>
    </row>
    <row r="309" spans="1:22" ht="28.5">
      <c r="A309" s="40" t="str">
        <f>Source!E156</f>
        <v>25</v>
      </c>
      <c r="B309" s="41" t="str">
        <f>Source!F156</f>
        <v>6.57-2-9</v>
      </c>
      <c r="C309" s="41" t="str">
        <f>Source!G156</f>
        <v>РАЗБОРКА АСФАЛЬТОБЕТОННЫХ ПОКРЫТИЙ толщ.40 мм дорога</v>
      </c>
      <c r="D309" s="42" t="str">
        <f>Source!H156</f>
        <v>100 м2</v>
      </c>
      <c r="E309" s="10">
        <f>Source!I156</f>
        <v>0.5331</v>
      </c>
      <c r="F309" s="44"/>
      <c r="G309" s="43"/>
      <c r="H309" s="10"/>
      <c r="I309" s="45"/>
      <c r="J309" s="10"/>
      <c r="K309" s="45"/>
      <c r="Q309">
        <f>ROUND((Source!DN156/100)*ROUND((Source!AF156*Source!AV156)*Source!I156,2),2)</f>
        <v>190.9</v>
      </c>
      <c r="R309">
        <f>Source!X156</f>
        <v>3310.17</v>
      </c>
      <c r="S309">
        <f>ROUND((Source!DO156/100)*ROUND((Source!AF156*Source!AV156)*Source!I156,2),2)</f>
        <v>131.24</v>
      </c>
      <c r="T309">
        <f>Source!Y156</f>
        <v>1995.84</v>
      </c>
      <c r="U309">
        <f>ROUND((175/100)*ROUND((Source!AE156*Source!AV156)*Source!I156,2),2)</f>
        <v>100.56</v>
      </c>
      <c r="V309">
        <f>ROUND((167/100)*ROUND(Source!CS156*Source!I156,2),2)</f>
        <v>1957.62</v>
      </c>
    </row>
    <row r="310" ht="12.75">
      <c r="C310" s="46" t="str">
        <f>"Объем: "&amp;Source!I156&amp;"=53,31/"&amp;"100"</f>
        <v>Объем: 0,5331=53,31/100</v>
      </c>
    </row>
    <row r="311" spans="1:23" ht="14.25">
      <c r="A311" s="40"/>
      <c r="B311" s="41"/>
      <c r="C311" s="41" t="s">
        <v>554</v>
      </c>
      <c r="D311" s="42"/>
      <c r="E311" s="10"/>
      <c r="F311" s="44">
        <f>Source!AO156</f>
        <v>427.52</v>
      </c>
      <c r="G311" s="43">
        <f>Source!DG156</f>
      </c>
      <c r="H311" s="10">
        <f>Source!AV156</f>
        <v>1.047</v>
      </c>
      <c r="I311" s="45">
        <f>ROUND((Source!AF156*Source!AV156)*Source!I156,2)</f>
        <v>238.62</v>
      </c>
      <c r="J311" s="10">
        <f>IF(Source!BA156&lt;&gt;0,Source!BA156,1)</f>
        <v>20.4</v>
      </c>
      <c r="K311" s="45">
        <f>Source!S156</f>
        <v>4867.9</v>
      </c>
      <c r="W311">
        <f>ROUND((Source!AF156*Source!AV156)*Source!I156,2)</f>
        <v>238.62</v>
      </c>
    </row>
    <row r="312" spans="1:11" ht="14.25">
      <c r="A312" s="40"/>
      <c r="B312" s="41"/>
      <c r="C312" s="41" t="s">
        <v>555</v>
      </c>
      <c r="D312" s="42"/>
      <c r="E312" s="10"/>
      <c r="F312" s="44">
        <f>Source!AM156</f>
        <v>344.81</v>
      </c>
      <c r="G312" s="43">
        <f>Source!DE156</f>
      </c>
      <c r="H312" s="10">
        <f>Source!AV156</f>
        <v>1.047</v>
      </c>
      <c r="I312" s="45">
        <f>ROUND(((((Source!ET156)-(Source!EU156))+Source!AE156)*Source!AV156)*Source!I156,2)</f>
        <v>192.46</v>
      </c>
      <c r="J312" s="10">
        <f>IF(Source!BB156&lt;&gt;0,Source!BB156,1)</f>
        <v>8.93</v>
      </c>
      <c r="K312" s="45">
        <f>Source!Q156</f>
        <v>1718.65</v>
      </c>
    </row>
    <row r="313" spans="1:23" ht="14.25">
      <c r="A313" s="40"/>
      <c r="B313" s="41"/>
      <c r="C313" s="41" t="s">
        <v>556</v>
      </c>
      <c r="D313" s="42"/>
      <c r="E313" s="10"/>
      <c r="F313" s="44">
        <f>Source!AN156</f>
        <v>102.95</v>
      </c>
      <c r="G313" s="43">
        <f>Source!DF156</f>
      </c>
      <c r="H313" s="10">
        <f>Source!AV156</f>
        <v>1.047</v>
      </c>
      <c r="I313" s="47">
        <f>ROUND((Source!AE156*Source!AV156)*Source!I156,2)</f>
        <v>57.46</v>
      </c>
      <c r="J313" s="10">
        <f>IF(Source!BS156&lt;&gt;0,Source!BS156,1)</f>
        <v>20.4</v>
      </c>
      <c r="K313" s="47">
        <f>Source!R156</f>
        <v>1172.23</v>
      </c>
      <c r="W313">
        <f>ROUND((Source!AE156*Source!AV156)*Source!I156,2)</f>
        <v>57.46</v>
      </c>
    </row>
    <row r="314" spans="1:11" ht="14.25">
      <c r="A314" s="40"/>
      <c r="B314" s="41"/>
      <c r="C314" s="41" t="s">
        <v>557</v>
      </c>
      <c r="D314" s="42"/>
      <c r="E314" s="10"/>
      <c r="F314" s="44">
        <f>Source!AL156</f>
        <v>0</v>
      </c>
      <c r="G314" s="43">
        <f>Source!DD156</f>
      </c>
      <c r="H314" s="10">
        <f>Source!AW156</f>
        <v>1</v>
      </c>
      <c r="I314" s="45">
        <f>ROUND((Source!AC156*Source!AW156)*Source!I156,2)</f>
        <v>0</v>
      </c>
      <c r="J314" s="10">
        <f>IF(Source!BC156&lt;&gt;0,Source!BC156,1)</f>
        <v>1</v>
      </c>
      <c r="K314" s="45">
        <f>Source!P156</f>
        <v>0</v>
      </c>
    </row>
    <row r="315" spans="1:11" ht="14.25">
      <c r="A315" s="40"/>
      <c r="B315" s="41"/>
      <c r="C315" s="41" t="s">
        <v>558</v>
      </c>
      <c r="D315" s="42" t="s">
        <v>559</v>
      </c>
      <c r="E315" s="10">
        <f>Source!DN156</f>
        <v>80</v>
      </c>
      <c r="F315" s="44"/>
      <c r="G315" s="43"/>
      <c r="H315" s="10"/>
      <c r="I315" s="45">
        <f>SUM(Q309:Q314)</f>
        <v>190.9</v>
      </c>
      <c r="J315" s="10">
        <f>Source!BZ156</f>
        <v>68</v>
      </c>
      <c r="K315" s="45">
        <f>SUM(R309:R314)</f>
        <v>3310.17</v>
      </c>
    </row>
    <row r="316" spans="1:11" ht="14.25">
      <c r="A316" s="40"/>
      <c r="B316" s="41"/>
      <c r="C316" s="41" t="s">
        <v>560</v>
      </c>
      <c r="D316" s="42" t="s">
        <v>559</v>
      </c>
      <c r="E316" s="10">
        <f>Source!DO156</f>
        <v>55</v>
      </c>
      <c r="F316" s="44"/>
      <c r="G316" s="43"/>
      <c r="H316" s="10"/>
      <c r="I316" s="45">
        <f>SUM(S309:S315)</f>
        <v>131.24</v>
      </c>
      <c r="J316" s="10">
        <f>Source!CA156</f>
        <v>41</v>
      </c>
      <c r="K316" s="45">
        <f>SUM(T309:T315)</f>
        <v>1995.84</v>
      </c>
    </row>
    <row r="317" spans="1:11" ht="14.25">
      <c r="A317" s="40"/>
      <c r="B317" s="41"/>
      <c r="C317" s="41" t="s">
        <v>561</v>
      </c>
      <c r="D317" s="42" t="s">
        <v>559</v>
      </c>
      <c r="E317" s="10">
        <f>175</f>
        <v>175</v>
      </c>
      <c r="F317" s="44"/>
      <c r="G317" s="43"/>
      <c r="H317" s="10"/>
      <c r="I317" s="45">
        <f>SUM(U309:U316)</f>
        <v>100.56</v>
      </c>
      <c r="J317" s="10">
        <f>167</f>
        <v>167</v>
      </c>
      <c r="K317" s="45">
        <f>SUM(V309:V316)</f>
        <v>1957.62</v>
      </c>
    </row>
    <row r="318" spans="1:28" ht="14.25">
      <c r="A318" s="40"/>
      <c r="B318" s="41"/>
      <c r="C318" s="41" t="s">
        <v>562</v>
      </c>
      <c r="D318" s="42" t="s">
        <v>563</v>
      </c>
      <c r="E318" s="10">
        <f>Source!AQ156</f>
        <v>38.24</v>
      </c>
      <c r="F318" s="44"/>
      <c r="G318" s="43">
        <f>Source!DI156</f>
      </c>
      <c r="H318" s="10">
        <f>Source!AV156</f>
        <v>1.047</v>
      </c>
      <c r="I318" s="45">
        <f>Source!U156</f>
        <v>21.343873968</v>
      </c>
      <c r="J318" s="10"/>
      <c r="K318" s="45"/>
      <c r="AB318" s="48">
        <f>I318</f>
        <v>21.343873968</v>
      </c>
    </row>
    <row r="319" spans="1:27" ht="15">
      <c r="A319" s="51"/>
      <c r="B319" s="51"/>
      <c r="C319" s="52" t="s">
        <v>564</v>
      </c>
      <c r="D319" s="51"/>
      <c r="E319" s="51"/>
      <c r="F319" s="51"/>
      <c r="G319" s="51"/>
      <c r="H319" s="53">
        <f>I311+I312+I314+I315+I316+I317</f>
        <v>853.78</v>
      </c>
      <c r="I319" s="53"/>
      <c r="J319" s="53">
        <f>K311+K312+K314+K315+K316+K317</f>
        <v>13850.18</v>
      </c>
      <c r="K319" s="53"/>
      <c r="O319" s="48">
        <f>H319</f>
        <v>853.78</v>
      </c>
      <c r="P319" s="48">
        <f>J319</f>
        <v>13850.18</v>
      </c>
      <c r="X319">
        <f>IF(Source!BI156&lt;=1,I311+I312+I314+I315+I316+I317-0,0)</f>
        <v>853.78</v>
      </c>
      <c r="Y319">
        <f>IF(Source!BI156=2,I311+I312+I314+I315+I316+I317-0,0)</f>
        <v>0</v>
      </c>
      <c r="Z319">
        <f>IF(Source!BI156=3,I311+I312+I314+I315+I316+I317-0,0)</f>
        <v>0</v>
      </c>
      <c r="AA319">
        <f>IF(Source!BI156=4,I311+I312+I314+I315+I316+I317,0)</f>
        <v>0</v>
      </c>
    </row>
    <row r="321" spans="1:22" ht="42.75">
      <c r="A321" s="40" t="str">
        <f>Source!E157</f>
        <v>26</v>
      </c>
      <c r="B321" s="41" t="str">
        <f>Source!F157</f>
        <v>6.57-2-9</v>
      </c>
      <c r="C321" s="41" t="str">
        <f>Source!G157</f>
        <v>РАЗБОРКА АСФАЛЬТОБЕТОННЫХ ПОКРЫТИЙ толщ.130 мм дорога (3 слоя по 40 мм)</v>
      </c>
      <c r="D321" s="42" t="str">
        <f>Source!H157</f>
        <v>100 м2</v>
      </c>
      <c r="E321" s="10">
        <f>Source!I157</f>
        <v>0.2822</v>
      </c>
      <c r="F321" s="44"/>
      <c r="G321" s="43"/>
      <c r="H321" s="10"/>
      <c r="I321" s="45"/>
      <c r="J321" s="10"/>
      <c r="K321" s="45"/>
      <c r="Q321">
        <f>ROUND((Source!DN157/100)*ROUND((Source!AF157*Source!AV157)*Source!I157,2),2)</f>
        <v>101.06</v>
      </c>
      <c r="R321">
        <f>Source!X157</f>
        <v>1752.26</v>
      </c>
      <c r="S321">
        <f>ROUND((Source!DO157/100)*ROUND((Source!AF157*Source!AV157)*Source!I157,2),2)</f>
        <v>69.48</v>
      </c>
      <c r="T321">
        <f>Source!Y157</f>
        <v>1056.51</v>
      </c>
      <c r="U321">
        <f>ROUND((175/100)*ROUND((Source!AE157*Source!AV157)*Source!I157,2),2)</f>
        <v>53.24</v>
      </c>
      <c r="V321">
        <f>ROUND((167/100)*ROUND(Source!CS157*Source!I157,2),2)</f>
        <v>1036.29</v>
      </c>
    </row>
    <row r="322" ht="12.75">
      <c r="C322" s="46" t="str">
        <f>"Объем: "&amp;Source!I157&amp;"=28,22/"&amp;"100"</f>
        <v>Объем: 0,2822=28,22/100</v>
      </c>
    </row>
    <row r="323" spans="1:23" ht="14.25">
      <c r="A323" s="40"/>
      <c r="B323" s="41"/>
      <c r="C323" s="41" t="s">
        <v>554</v>
      </c>
      <c r="D323" s="42"/>
      <c r="E323" s="10"/>
      <c r="F323" s="44">
        <f>Source!AO157</f>
        <v>427.52</v>
      </c>
      <c r="G323" s="43">
        <f>Source!DG157</f>
      </c>
      <c r="H323" s="10">
        <f>Source!AV157</f>
        <v>1.047</v>
      </c>
      <c r="I323" s="45">
        <f>ROUND((Source!AF157*Source!AV157)*Source!I157,2)</f>
        <v>126.32</v>
      </c>
      <c r="J323" s="10">
        <f>IF(Source!BA157&lt;&gt;0,Source!BA157,1)</f>
        <v>20.4</v>
      </c>
      <c r="K323" s="45">
        <f>Source!S157</f>
        <v>2576.86</v>
      </c>
      <c r="W323">
        <f>ROUND((Source!AF157*Source!AV157)*Source!I157,2)</f>
        <v>126.32</v>
      </c>
    </row>
    <row r="324" spans="1:11" ht="14.25">
      <c r="A324" s="40"/>
      <c r="B324" s="41"/>
      <c r="C324" s="41" t="s">
        <v>555</v>
      </c>
      <c r="D324" s="42"/>
      <c r="E324" s="10"/>
      <c r="F324" s="44">
        <f>Source!AM157</f>
        <v>344.81</v>
      </c>
      <c r="G324" s="43">
        <f>Source!DE157</f>
      </c>
      <c r="H324" s="10">
        <f>Source!AV157</f>
        <v>1.047</v>
      </c>
      <c r="I324" s="45">
        <f>ROUND(((((Source!ET157)-(Source!EU157))+Source!AE157)*Source!AV157)*Source!I157,2)</f>
        <v>101.88</v>
      </c>
      <c r="J324" s="10">
        <f>IF(Source!BB157&lt;&gt;0,Source!BB157,1)</f>
        <v>8.93</v>
      </c>
      <c r="K324" s="45">
        <f>Source!Q157</f>
        <v>909.78</v>
      </c>
    </row>
    <row r="325" spans="1:23" ht="14.25">
      <c r="A325" s="40"/>
      <c r="B325" s="41"/>
      <c r="C325" s="41" t="s">
        <v>556</v>
      </c>
      <c r="D325" s="42"/>
      <c r="E325" s="10"/>
      <c r="F325" s="44">
        <f>Source!AN157</f>
        <v>102.95</v>
      </c>
      <c r="G325" s="43">
        <f>Source!DF157</f>
      </c>
      <c r="H325" s="10">
        <f>Source!AV157</f>
        <v>1.047</v>
      </c>
      <c r="I325" s="47">
        <f>ROUND((Source!AE157*Source!AV157)*Source!I157,2)</f>
        <v>30.42</v>
      </c>
      <c r="J325" s="10">
        <f>IF(Source!BS157&lt;&gt;0,Source!BS157,1)</f>
        <v>20.4</v>
      </c>
      <c r="K325" s="47">
        <f>Source!R157</f>
        <v>620.53</v>
      </c>
      <c r="W325">
        <f>ROUND((Source!AE157*Source!AV157)*Source!I157,2)</f>
        <v>30.42</v>
      </c>
    </row>
    <row r="326" spans="1:11" ht="14.25">
      <c r="A326" s="40"/>
      <c r="B326" s="41"/>
      <c r="C326" s="41" t="s">
        <v>557</v>
      </c>
      <c r="D326" s="42"/>
      <c r="E326" s="10"/>
      <c r="F326" s="44">
        <f>Source!AL157</f>
        <v>0</v>
      </c>
      <c r="G326" s="43">
        <f>Source!DD157</f>
      </c>
      <c r="H326" s="10">
        <f>Source!AW157</f>
        <v>1</v>
      </c>
      <c r="I326" s="45">
        <f>ROUND((Source!AC157*Source!AW157)*Source!I157,2)</f>
        <v>0</v>
      </c>
      <c r="J326" s="10">
        <f>IF(Source!BC157&lt;&gt;0,Source!BC157,1)</f>
        <v>1</v>
      </c>
      <c r="K326" s="45">
        <f>Source!P157</f>
        <v>0</v>
      </c>
    </row>
    <row r="327" spans="1:11" ht="14.25">
      <c r="A327" s="40"/>
      <c r="B327" s="41"/>
      <c r="C327" s="41" t="s">
        <v>558</v>
      </c>
      <c r="D327" s="42" t="s">
        <v>559</v>
      </c>
      <c r="E327" s="10">
        <f>Source!DN157</f>
        <v>80</v>
      </c>
      <c r="F327" s="44"/>
      <c r="G327" s="43"/>
      <c r="H327" s="10"/>
      <c r="I327" s="45">
        <f>SUM(Q321:Q326)</f>
        <v>101.06</v>
      </c>
      <c r="J327" s="10">
        <f>Source!BZ157</f>
        <v>68</v>
      </c>
      <c r="K327" s="45">
        <f>SUM(R321:R326)</f>
        <v>1752.26</v>
      </c>
    </row>
    <row r="328" spans="1:11" ht="14.25">
      <c r="A328" s="40"/>
      <c r="B328" s="41"/>
      <c r="C328" s="41" t="s">
        <v>560</v>
      </c>
      <c r="D328" s="42" t="s">
        <v>559</v>
      </c>
      <c r="E328" s="10">
        <f>Source!DO157</f>
        <v>55</v>
      </c>
      <c r="F328" s="44"/>
      <c r="G328" s="43"/>
      <c r="H328" s="10"/>
      <c r="I328" s="45">
        <f>SUM(S321:S327)</f>
        <v>69.48</v>
      </c>
      <c r="J328" s="10">
        <f>Source!CA157</f>
        <v>41</v>
      </c>
      <c r="K328" s="45">
        <f>SUM(T321:T327)</f>
        <v>1056.51</v>
      </c>
    </row>
    <row r="329" spans="1:11" ht="14.25">
      <c r="A329" s="40"/>
      <c r="B329" s="41"/>
      <c r="C329" s="41" t="s">
        <v>561</v>
      </c>
      <c r="D329" s="42" t="s">
        <v>559</v>
      </c>
      <c r="E329" s="10">
        <f>175</f>
        <v>175</v>
      </c>
      <c r="F329" s="44"/>
      <c r="G329" s="43"/>
      <c r="H329" s="10"/>
      <c r="I329" s="45">
        <f>SUM(U321:U328)</f>
        <v>53.24</v>
      </c>
      <c r="J329" s="10">
        <f>167</f>
        <v>167</v>
      </c>
      <c r="K329" s="45">
        <f>SUM(V321:V328)</f>
        <v>1036.29</v>
      </c>
    </row>
    <row r="330" spans="1:28" ht="14.25">
      <c r="A330" s="40"/>
      <c r="B330" s="41"/>
      <c r="C330" s="41" t="s">
        <v>562</v>
      </c>
      <c r="D330" s="42" t="s">
        <v>563</v>
      </c>
      <c r="E330" s="10">
        <f>Source!AQ157</f>
        <v>38.24</v>
      </c>
      <c r="F330" s="44"/>
      <c r="G330" s="43">
        <f>Source!DI157</f>
      </c>
      <c r="H330" s="10">
        <f>Source!AV157</f>
        <v>1.047</v>
      </c>
      <c r="I330" s="45">
        <f>Source!U157</f>
        <v>11.298520416</v>
      </c>
      <c r="J330" s="10"/>
      <c r="K330" s="45"/>
      <c r="AB330" s="48">
        <f>I330</f>
        <v>11.298520416</v>
      </c>
    </row>
    <row r="331" spans="1:27" ht="15">
      <c r="A331" s="51"/>
      <c r="B331" s="51"/>
      <c r="C331" s="52" t="s">
        <v>564</v>
      </c>
      <c r="D331" s="51"/>
      <c r="E331" s="51"/>
      <c r="F331" s="51"/>
      <c r="G331" s="51"/>
      <c r="H331" s="53">
        <f>I323+I324+I326+I327+I328+I329</f>
        <v>451.98</v>
      </c>
      <c r="I331" s="53"/>
      <c r="J331" s="53">
        <f>K323+K324+K326+K327+K328+K329</f>
        <v>7331.700000000001</v>
      </c>
      <c r="K331" s="53"/>
      <c r="O331" s="48">
        <f>H331</f>
        <v>451.98</v>
      </c>
      <c r="P331" s="48">
        <f>J331</f>
        <v>7331.700000000001</v>
      </c>
      <c r="X331">
        <f>IF(Source!BI157&lt;=1,I323+I324+I326+I327+I328+I329-0,0)</f>
        <v>451.98</v>
      </c>
      <c r="Y331">
        <f>IF(Source!BI157=2,I323+I324+I326+I327+I328+I329-0,0)</f>
        <v>0</v>
      </c>
      <c r="Z331">
        <f>IF(Source!BI157=3,I323+I324+I326+I327+I328+I329-0,0)</f>
        <v>0</v>
      </c>
      <c r="AA331">
        <f>IF(Source!BI157=4,I323+I324+I326+I327+I328+I329,0)</f>
        <v>0</v>
      </c>
    </row>
    <row r="333" spans="1:22" ht="57">
      <c r="A333" s="40" t="str">
        <f>Source!E158</f>
        <v>27</v>
      </c>
      <c r="B333" s="41" t="str">
        <f>Source!F158</f>
        <v>6.57-2-9</v>
      </c>
      <c r="C333" s="41" t="str">
        <f>Source!G158</f>
        <v>РАЗБОРКА АСФАЛЬТОБЕТОННЫХ ПОКРЫТИЙ толщ.170 мм дорога (4 слоя по 40 мм) прим. для цементобет.оснований</v>
      </c>
      <c r="D333" s="42" t="str">
        <f>Source!H158</f>
        <v>100 м2</v>
      </c>
      <c r="E333" s="10">
        <f>Source!I158</f>
        <v>1.0662</v>
      </c>
      <c r="F333" s="44"/>
      <c r="G333" s="43"/>
      <c r="H333" s="10"/>
      <c r="I333" s="45"/>
      <c r="J333" s="10"/>
      <c r="K333" s="45"/>
      <c r="Q333">
        <f>ROUND((Source!DN158/100)*ROUND((Source!AF158*Source!AV158)*Source!I158,2),2)</f>
        <v>381.8</v>
      </c>
      <c r="R333">
        <f>Source!X158</f>
        <v>6620.35</v>
      </c>
      <c r="S333">
        <f>ROUND((Source!DO158/100)*ROUND((Source!AF158*Source!AV158)*Source!I158,2),2)</f>
        <v>262.49</v>
      </c>
      <c r="T333">
        <f>Source!Y158</f>
        <v>3991.68</v>
      </c>
      <c r="U333">
        <f>ROUND((175/100)*ROUND((Source!AE158*Source!AV158)*Source!I158,2),2)</f>
        <v>201.11</v>
      </c>
      <c r="V333">
        <f>ROUND((167/100)*ROUND(Source!CS158*Source!I158,2),2)</f>
        <v>3915.23</v>
      </c>
    </row>
    <row r="334" ht="12.75">
      <c r="C334" s="46" t="str">
        <f>"Объем: "&amp;Source!I158&amp;"=106,62/"&amp;"100"</f>
        <v>Объем: 1,0662=106,62/100</v>
      </c>
    </row>
    <row r="335" spans="1:23" ht="14.25">
      <c r="A335" s="40"/>
      <c r="B335" s="41"/>
      <c r="C335" s="41" t="s">
        <v>554</v>
      </c>
      <c r="D335" s="42"/>
      <c r="E335" s="10"/>
      <c r="F335" s="44">
        <f>Source!AO158</f>
        <v>427.52</v>
      </c>
      <c r="G335" s="43">
        <f>Source!DG158</f>
      </c>
      <c r="H335" s="10">
        <f>Source!AV158</f>
        <v>1.047</v>
      </c>
      <c r="I335" s="45">
        <f>ROUND((Source!AF158*Source!AV158)*Source!I158,2)</f>
        <v>477.25</v>
      </c>
      <c r="J335" s="10">
        <f>IF(Source!BA158&lt;&gt;0,Source!BA158,1)</f>
        <v>20.4</v>
      </c>
      <c r="K335" s="45">
        <f>Source!S158</f>
        <v>9735.81</v>
      </c>
      <c r="W335">
        <f>ROUND((Source!AF158*Source!AV158)*Source!I158,2)</f>
        <v>477.25</v>
      </c>
    </row>
    <row r="336" spans="1:11" ht="14.25">
      <c r="A336" s="40"/>
      <c r="B336" s="41"/>
      <c r="C336" s="41" t="s">
        <v>555</v>
      </c>
      <c r="D336" s="42"/>
      <c r="E336" s="10"/>
      <c r="F336" s="44">
        <f>Source!AM158</f>
        <v>344.81</v>
      </c>
      <c r="G336" s="43">
        <f>Source!DE158</f>
      </c>
      <c r="H336" s="10">
        <f>Source!AV158</f>
        <v>1.047</v>
      </c>
      <c r="I336" s="45">
        <f>ROUND(((((Source!ET158)-(Source!EU158))+Source!AE158)*Source!AV158)*Source!I158,2)</f>
        <v>384.92</v>
      </c>
      <c r="J336" s="10">
        <f>IF(Source!BB158&lt;&gt;0,Source!BB158,1)</f>
        <v>8.93</v>
      </c>
      <c r="K336" s="45">
        <f>Source!Q158</f>
        <v>3437.29</v>
      </c>
    </row>
    <row r="337" spans="1:23" ht="14.25">
      <c r="A337" s="40"/>
      <c r="B337" s="41"/>
      <c r="C337" s="41" t="s">
        <v>556</v>
      </c>
      <c r="D337" s="42"/>
      <c r="E337" s="10"/>
      <c r="F337" s="44">
        <f>Source!AN158</f>
        <v>102.95</v>
      </c>
      <c r="G337" s="43">
        <f>Source!DF158</f>
      </c>
      <c r="H337" s="10">
        <f>Source!AV158</f>
        <v>1.047</v>
      </c>
      <c r="I337" s="47">
        <f>ROUND((Source!AE158*Source!AV158)*Source!I158,2)</f>
        <v>114.92</v>
      </c>
      <c r="J337" s="10">
        <f>IF(Source!BS158&lt;&gt;0,Source!BS158,1)</f>
        <v>20.4</v>
      </c>
      <c r="K337" s="47">
        <f>Source!R158</f>
        <v>2344.45</v>
      </c>
      <c r="W337">
        <f>ROUND((Source!AE158*Source!AV158)*Source!I158,2)</f>
        <v>114.92</v>
      </c>
    </row>
    <row r="338" spans="1:11" ht="14.25">
      <c r="A338" s="40"/>
      <c r="B338" s="41"/>
      <c r="C338" s="41" t="s">
        <v>557</v>
      </c>
      <c r="D338" s="42"/>
      <c r="E338" s="10"/>
      <c r="F338" s="44">
        <f>Source!AL158</f>
        <v>0</v>
      </c>
      <c r="G338" s="43">
        <f>Source!DD158</f>
      </c>
      <c r="H338" s="10">
        <f>Source!AW158</f>
        <v>1</v>
      </c>
      <c r="I338" s="45">
        <f>ROUND((Source!AC158*Source!AW158)*Source!I158,2)</f>
        <v>0</v>
      </c>
      <c r="J338" s="10">
        <f>IF(Source!BC158&lt;&gt;0,Source!BC158,1)</f>
        <v>1</v>
      </c>
      <c r="K338" s="45">
        <f>Source!P158</f>
        <v>0</v>
      </c>
    </row>
    <row r="339" spans="1:11" ht="14.25">
      <c r="A339" s="40"/>
      <c r="B339" s="41"/>
      <c r="C339" s="41" t="s">
        <v>558</v>
      </c>
      <c r="D339" s="42" t="s">
        <v>559</v>
      </c>
      <c r="E339" s="10">
        <f>Source!DN158</f>
        <v>80</v>
      </c>
      <c r="F339" s="44"/>
      <c r="G339" s="43"/>
      <c r="H339" s="10"/>
      <c r="I339" s="45">
        <f>SUM(Q333:Q338)</f>
        <v>381.8</v>
      </c>
      <c r="J339" s="10">
        <f>Source!BZ158</f>
        <v>68</v>
      </c>
      <c r="K339" s="45">
        <f>SUM(R333:R338)</f>
        <v>6620.35</v>
      </c>
    </row>
    <row r="340" spans="1:11" ht="14.25">
      <c r="A340" s="40"/>
      <c r="B340" s="41"/>
      <c r="C340" s="41" t="s">
        <v>560</v>
      </c>
      <c r="D340" s="42" t="s">
        <v>559</v>
      </c>
      <c r="E340" s="10">
        <f>Source!DO158</f>
        <v>55</v>
      </c>
      <c r="F340" s="44"/>
      <c r="G340" s="43"/>
      <c r="H340" s="10"/>
      <c r="I340" s="45">
        <f>SUM(S333:S339)</f>
        <v>262.49</v>
      </c>
      <c r="J340" s="10">
        <f>Source!CA158</f>
        <v>41</v>
      </c>
      <c r="K340" s="45">
        <f>SUM(T333:T339)</f>
        <v>3991.68</v>
      </c>
    </row>
    <row r="341" spans="1:11" ht="14.25">
      <c r="A341" s="40"/>
      <c r="B341" s="41"/>
      <c r="C341" s="41" t="s">
        <v>561</v>
      </c>
      <c r="D341" s="42" t="s">
        <v>559</v>
      </c>
      <c r="E341" s="10">
        <f>175</f>
        <v>175</v>
      </c>
      <c r="F341" s="44"/>
      <c r="G341" s="43"/>
      <c r="H341" s="10"/>
      <c r="I341" s="45">
        <f>SUM(U333:U340)</f>
        <v>201.11</v>
      </c>
      <c r="J341" s="10">
        <f>167</f>
        <v>167</v>
      </c>
      <c r="K341" s="45">
        <f>SUM(V333:V340)</f>
        <v>3915.23</v>
      </c>
    </row>
    <row r="342" spans="1:28" ht="14.25">
      <c r="A342" s="40"/>
      <c r="B342" s="41"/>
      <c r="C342" s="41" t="s">
        <v>562</v>
      </c>
      <c r="D342" s="42" t="s">
        <v>563</v>
      </c>
      <c r="E342" s="10">
        <f>Source!AQ158</f>
        <v>38.24</v>
      </c>
      <c r="F342" s="44"/>
      <c r="G342" s="43">
        <f>Source!DI158</f>
      </c>
      <c r="H342" s="10">
        <f>Source!AV158</f>
        <v>1.047</v>
      </c>
      <c r="I342" s="45">
        <f>Source!U158</f>
        <v>42.687747936</v>
      </c>
      <c r="J342" s="10"/>
      <c r="K342" s="45"/>
      <c r="AB342" s="48">
        <f>I342</f>
        <v>42.687747936</v>
      </c>
    </row>
    <row r="343" spans="1:27" ht="15">
      <c r="A343" s="51"/>
      <c r="B343" s="51"/>
      <c r="C343" s="52" t="s">
        <v>564</v>
      </c>
      <c r="D343" s="51"/>
      <c r="E343" s="51"/>
      <c r="F343" s="51"/>
      <c r="G343" s="51"/>
      <c r="H343" s="53">
        <f>I335+I336+I338+I339+I340+I341</f>
        <v>1707.5700000000002</v>
      </c>
      <c r="I343" s="53"/>
      <c r="J343" s="53">
        <f>K335+K336+K338+K339+K340+K341</f>
        <v>27700.359999999997</v>
      </c>
      <c r="K343" s="53"/>
      <c r="O343" s="48">
        <f>H343</f>
        <v>1707.5700000000002</v>
      </c>
      <c r="P343" s="48">
        <f>J343</f>
        <v>27700.359999999997</v>
      </c>
      <c r="X343">
        <f>IF(Source!BI158&lt;=1,I335+I336+I338+I339+I340+I341-0,0)</f>
        <v>1707.5700000000002</v>
      </c>
      <c r="Y343">
        <f>IF(Source!BI158=2,I335+I336+I338+I339+I340+I341-0,0)</f>
        <v>0</v>
      </c>
      <c r="Z343">
        <f>IF(Source!BI158=3,I335+I336+I338+I339+I340+I341-0,0)</f>
        <v>0</v>
      </c>
      <c r="AA343">
        <f>IF(Source!BI158=4,I335+I336+I338+I339+I340+I341,0)</f>
        <v>0</v>
      </c>
    </row>
    <row r="345" spans="1:22" ht="42.75">
      <c r="A345" s="40" t="str">
        <f>Source!E159</f>
        <v>28</v>
      </c>
      <c r="B345" s="41" t="str">
        <f>Source!F159</f>
        <v>3.27-12-1</v>
      </c>
      <c r="C345" s="41" t="str">
        <f>Source!G159</f>
        <v>УСТРОЙСТВО ПОДСТИЛАЮЩИХ И ВЫРАВНИВАЮЩИХ СЛОЕВ ОСНОВАНИЙ ИЗ ПЕСКА</v>
      </c>
      <c r="D345" s="42" t="str">
        <f>Source!H159</f>
        <v>100 м3</v>
      </c>
      <c r="E345" s="10">
        <f>Source!I159</f>
        <v>0.1328</v>
      </c>
      <c r="F345" s="44"/>
      <c r="G345" s="43"/>
      <c r="H345" s="10"/>
      <c r="I345" s="45"/>
      <c r="J345" s="10"/>
      <c r="K345" s="45"/>
      <c r="Q345">
        <f>ROUND((Source!DN159/100)*ROUND((Source!AF159*Source!AV159)*Source!I159,2),2)</f>
        <v>33.91</v>
      </c>
      <c r="R345">
        <f>Source!X159</f>
        <v>562.89</v>
      </c>
      <c r="S345">
        <f>ROUND((Source!DO159/100)*ROUND((Source!AF159*Source!AV159)*Source!I159,2),2)</f>
        <v>22.53</v>
      </c>
      <c r="T345">
        <f>Source!Y159</f>
        <v>232.03</v>
      </c>
      <c r="U345">
        <f>ROUND((175/100)*ROUND((Source!AE159*Source!AV159)*Source!I159,2),2)</f>
        <v>28.96</v>
      </c>
      <c r="V345">
        <f>ROUND((167/100)*ROUND(Source!CS159*Source!I159,2),2)</f>
        <v>563.93</v>
      </c>
    </row>
    <row r="346" ht="12.75">
      <c r="C346" s="46" t="str">
        <f>"Объем: "&amp;Source!I159&amp;"=13,28/"&amp;"100"</f>
        <v>Объем: 0,1328=13,28/100</v>
      </c>
    </row>
    <row r="347" spans="1:23" ht="14.25">
      <c r="A347" s="40"/>
      <c r="B347" s="41"/>
      <c r="C347" s="41" t="s">
        <v>554</v>
      </c>
      <c r="D347" s="42"/>
      <c r="E347" s="10"/>
      <c r="F347" s="44">
        <f>Source!AO159</f>
        <v>151.49</v>
      </c>
      <c r="G347" s="43">
        <f>Source!DG159</f>
      </c>
      <c r="H347" s="10">
        <f>Source!AV159</f>
        <v>1.047</v>
      </c>
      <c r="I347" s="45">
        <f>ROUND((Source!AF159*Source!AV159)*Source!I159,2)</f>
        <v>21.06</v>
      </c>
      <c r="J347" s="10">
        <f>IF(Source!BA159&lt;&gt;0,Source!BA159,1)</f>
        <v>20.4</v>
      </c>
      <c r="K347" s="45">
        <f>Source!S159</f>
        <v>429.69</v>
      </c>
      <c r="W347">
        <f>ROUND((Source!AF159*Source!AV159)*Source!I159,2)</f>
        <v>21.06</v>
      </c>
    </row>
    <row r="348" spans="1:11" ht="14.25">
      <c r="A348" s="40"/>
      <c r="B348" s="41"/>
      <c r="C348" s="41" t="s">
        <v>555</v>
      </c>
      <c r="D348" s="42"/>
      <c r="E348" s="10"/>
      <c r="F348" s="44">
        <f>Source!AM159</f>
        <v>676.47</v>
      </c>
      <c r="G348" s="43">
        <f>Source!DE159</f>
      </c>
      <c r="H348" s="10">
        <f>Source!AV159</f>
        <v>1.047</v>
      </c>
      <c r="I348" s="45">
        <f>ROUND(((((Source!ET159)-(Source!EU159))+Source!AE159)*Source!AV159)*Source!I159,2)</f>
        <v>94.06</v>
      </c>
      <c r="J348" s="10">
        <f>IF(Source!BB159&lt;&gt;0,Source!BB159,1)</f>
        <v>8.98</v>
      </c>
      <c r="K348" s="45">
        <f>Source!Q159</f>
        <v>844.64</v>
      </c>
    </row>
    <row r="349" spans="1:23" ht="14.25">
      <c r="A349" s="40"/>
      <c r="B349" s="41"/>
      <c r="C349" s="41" t="s">
        <v>556</v>
      </c>
      <c r="D349" s="42"/>
      <c r="E349" s="10"/>
      <c r="F349" s="44">
        <f>Source!AN159</f>
        <v>119.05</v>
      </c>
      <c r="G349" s="43">
        <f>Source!DF159</f>
      </c>
      <c r="H349" s="10">
        <f>Source!AV159</f>
        <v>1.047</v>
      </c>
      <c r="I349" s="47">
        <f>ROUND((Source!AE159*Source!AV159)*Source!I159,2)</f>
        <v>16.55</v>
      </c>
      <c r="J349" s="10">
        <f>IF(Source!BS159&lt;&gt;0,Source!BS159,1)</f>
        <v>20.4</v>
      </c>
      <c r="K349" s="47">
        <f>Source!R159</f>
        <v>337.68</v>
      </c>
      <c r="W349">
        <f>ROUND((Source!AE159*Source!AV159)*Source!I159,2)</f>
        <v>16.55</v>
      </c>
    </row>
    <row r="350" spans="1:11" ht="14.25">
      <c r="A350" s="40"/>
      <c r="B350" s="41"/>
      <c r="C350" s="41" t="s">
        <v>557</v>
      </c>
      <c r="D350" s="42"/>
      <c r="E350" s="10"/>
      <c r="F350" s="44">
        <f>Source!AL159</f>
        <v>35.35</v>
      </c>
      <c r="G350" s="43">
        <f>Source!DD159</f>
      </c>
      <c r="H350" s="10">
        <f>Source!AW159</f>
        <v>1.002</v>
      </c>
      <c r="I350" s="45">
        <f>ROUND((Source!AC159*Source!AW159)*Source!I159,2)</f>
        <v>4.7</v>
      </c>
      <c r="J350" s="10">
        <f>IF(Source!BC159&lt;&gt;0,Source!BC159,1)</f>
        <v>4.24</v>
      </c>
      <c r="K350" s="45">
        <f>Source!P159</f>
        <v>19.94</v>
      </c>
    </row>
    <row r="351" spans="1:27" ht="28.5">
      <c r="A351" s="40" t="str">
        <f>Source!E160</f>
        <v>28,1</v>
      </c>
      <c r="B351" s="41" t="str">
        <f>Source!F160</f>
        <v>1.1-1-766</v>
      </c>
      <c r="C351" s="41" t="str">
        <f>Source!G160</f>
        <v>ПЕСОК ДЛЯ СТРОИТЕЛЬНЫХ РАБОТ, РЯДОВОЙ</v>
      </c>
      <c r="D351" s="42" t="str">
        <f>Source!H160</f>
        <v>м3</v>
      </c>
      <c r="E351" s="10">
        <f>Source!I160</f>
        <v>13.28</v>
      </c>
      <c r="F351" s="44">
        <f>Source!AK160</f>
        <v>104.99</v>
      </c>
      <c r="G351" s="54" t="s">
        <v>6</v>
      </c>
      <c r="H351" s="10">
        <f>Source!AW160</f>
        <v>1.002</v>
      </c>
      <c r="I351" s="45">
        <f>ROUND((Source!AC160*Source!AW160)*Source!I160,2)+ROUND(((((Source!ET160)-(Source!EU160))+Source!AE160)*Source!AV160)*Source!I160,2)+ROUND((Source!AF160*Source!AV160)*Source!I160,2)</f>
        <v>1397.06</v>
      </c>
      <c r="J351" s="10">
        <f>IF(Source!BC160&lt;&gt;0,Source!BC160,1)</f>
        <v>5.45</v>
      </c>
      <c r="K351" s="45">
        <f>Source!O160</f>
        <v>7613.95</v>
      </c>
      <c r="Q351">
        <f>ROUND((Source!DN160/100)*ROUND((Source!AF160*Source!AV160)*Source!I160,2),2)</f>
        <v>0</v>
      </c>
      <c r="R351">
        <f>Source!X160</f>
        <v>0</v>
      </c>
      <c r="S351">
        <f>ROUND((Source!DO160/100)*ROUND((Source!AF160*Source!AV160)*Source!I160,2),2)</f>
        <v>0</v>
      </c>
      <c r="T351">
        <f>Source!Y160</f>
        <v>0</v>
      </c>
      <c r="U351">
        <f>ROUND((175/100)*ROUND((Source!AE160*Source!AV160)*Source!I160,2),2)</f>
        <v>0</v>
      </c>
      <c r="V351">
        <f>ROUND((167/100)*ROUND(Source!CS160*Source!I160,2),2)</f>
        <v>0</v>
      </c>
      <c r="X351">
        <f>IF(Source!BI160&lt;=1,I351,0)</f>
        <v>1397.06</v>
      </c>
      <c r="Y351">
        <f>IF(Source!BI160=2,I351,0)</f>
        <v>0</v>
      </c>
      <c r="Z351">
        <f>IF(Source!BI160=3,I351,0)</f>
        <v>0</v>
      </c>
      <c r="AA351">
        <f>IF(Source!BI160=4,I351,0)</f>
        <v>0</v>
      </c>
    </row>
    <row r="352" spans="1:11" ht="14.25">
      <c r="A352" s="40"/>
      <c r="B352" s="41"/>
      <c r="C352" s="41" t="s">
        <v>558</v>
      </c>
      <c r="D352" s="42" t="s">
        <v>559</v>
      </c>
      <c r="E352" s="10">
        <f>Source!DN159</f>
        <v>161</v>
      </c>
      <c r="F352" s="44"/>
      <c r="G352" s="43"/>
      <c r="H352" s="10"/>
      <c r="I352" s="45">
        <f>SUM(Q345:Q351)</f>
        <v>33.91</v>
      </c>
      <c r="J352" s="10">
        <f>Source!BZ159</f>
        <v>131</v>
      </c>
      <c r="K352" s="45">
        <f>SUM(R345:R351)</f>
        <v>562.89</v>
      </c>
    </row>
    <row r="353" spans="1:11" ht="14.25">
      <c r="A353" s="40"/>
      <c r="B353" s="41"/>
      <c r="C353" s="41" t="s">
        <v>560</v>
      </c>
      <c r="D353" s="42" t="s">
        <v>559</v>
      </c>
      <c r="E353" s="10">
        <f>Source!DO159</f>
        <v>107</v>
      </c>
      <c r="F353" s="44"/>
      <c r="G353" s="43"/>
      <c r="H353" s="10"/>
      <c r="I353" s="45">
        <f>SUM(S345:S352)</f>
        <v>22.53</v>
      </c>
      <c r="J353" s="10">
        <f>Source!CA159</f>
        <v>54</v>
      </c>
      <c r="K353" s="45">
        <f>SUM(T345:T352)</f>
        <v>232.03</v>
      </c>
    </row>
    <row r="354" spans="1:11" ht="14.25">
      <c r="A354" s="40"/>
      <c r="B354" s="41"/>
      <c r="C354" s="41" t="s">
        <v>561</v>
      </c>
      <c r="D354" s="42" t="s">
        <v>559</v>
      </c>
      <c r="E354" s="10">
        <f>175</f>
        <v>175</v>
      </c>
      <c r="F354" s="44"/>
      <c r="G354" s="43"/>
      <c r="H354" s="10"/>
      <c r="I354" s="45">
        <f>SUM(U345:U353)</f>
        <v>28.96</v>
      </c>
      <c r="J354" s="10">
        <f>167</f>
        <v>167</v>
      </c>
      <c r="K354" s="45">
        <f>SUM(V345:V353)</f>
        <v>563.93</v>
      </c>
    </row>
    <row r="355" spans="1:28" ht="14.25">
      <c r="A355" s="40"/>
      <c r="B355" s="41"/>
      <c r="C355" s="41" t="s">
        <v>562</v>
      </c>
      <c r="D355" s="42" t="s">
        <v>563</v>
      </c>
      <c r="E355" s="10">
        <f>Source!AQ159</f>
        <v>14.4</v>
      </c>
      <c r="F355" s="44"/>
      <c r="G355" s="43">
        <f>Source!DI159</f>
      </c>
      <c r="H355" s="10">
        <f>Source!AV159</f>
        <v>1.047</v>
      </c>
      <c r="I355" s="45">
        <f>Source!U159</f>
        <v>2.00219904</v>
      </c>
      <c r="J355" s="10"/>
      <c r="K355" s="45"/>
      <c r="AB355" s="48">
        <f>I355</f>
        <v>2.00219904</v>
      </c>
    </row>
    <row r="356" spans="1:27" ht="15">
      <c r="A356" s="51"/>
      <c r="B356" s="51"/>
      <c r="C356" s="52" t="s">
        <v>564</v>
      </c>
      <c r="D356" s="51"/>
      <c r="E356" s="51"/>
      <c r="F356" s="51"/>
      <c r="G356" s="51"/>
      <c r="H356" s="53">
        <f>I347+I348+I350+I352+I353+I354+SUM(I351:I351)</f>
        <v>1602.28</v>
      </c>
      <c r="I356" s="53"/>
      <c r="J356" s="53">
        <f>K347+K348+K350+K352+K353+K354+SUM(K351:K351)</f>
        <v>10267.07</v>
      </c>
      <c r="K356" s="53"/>
      <c r="O356" s="48">
        <f>H356</f>
        <v>1602.28</v>
      </c>
      <c r="P356" s="48">
        <f>J356</f>
        <v>10267.07</v>
      </c>
      <c r="X356">
        <f>IF(Source!BI159&lt;=1,I347+I348+I350+I352+I353+I354-0,0)</f>
        <v>205.22000000000003</v>
      </c>
      <c r="Y356">
        <f>IF(Source!BI159=2,I347+I348+I350+I352+I353+I354-0,0)</f>
        <v>0</v>
      </c>
      <c r="Z356">
        <f>IF(Source!BI159=3,I347+I348+I350+I352+I353+I354-0,0)</f>
        <v>0</v>
      </c>
      <c r="AA356">
        <f>IF(Source!BI159=4,I347+I348+I350+I352+I353+I354,0)</f>
        <v>0</v>
      </c>
    </row>
    <row r="358" spans="1:22" ht="42.75">
      <c r="A358" s="40" t="str">
        <f>Source!E161</f>
        <v>29</v>
      </c>
      <c r="B358" s="41" t="str">
        <f>Source!F161</f>
        <v>3.27-12-2</v>
      </c>
      <c r="C358" s="41" t="str">
        <f>Source!G161</f>
        <v>УСТРОЙСТВО ПОДСТИЛАЮЩИХ И ВЫРАВНИВАЮЩИХ СЛОЕВ ОСНОВАНИЙ ИЗ ЩЕБНЯ</v>
      </c>
      <c r="D358" s="42" t="str">
        <f>Source!H161</f>
        <v>100 м3</v>
      </c>
      <c r="E358" s="10">
        <f>Source!I161</f>
        <v>0.04</v>
      </c>
      <c r="F358" s="44"/>
      <c r="G358" s="43"/>
      <c r="H358" s="10"/>
      <c r="I358" s="45"/>
      <c r="J358" s="10"/>
      <c r="K358" s="45"/>
      <c r="Q358">
        <f>ROUND((Source!DN161/100)*ROUND((Source!AF161*Source!AV161)*Source!I161,2),2)</f>
        <v>15.33</v>
      </c>
      <c r="R358">
        <f>Source!X161</f>
        <v>254.31</v>
      </c>
      <c r="S358">
        <f>ROUND((Source!DO161/100)*ROUND((Source!AF161*Source!AV161)*Source!I161,2),2)</f>
        <v>10.19</v>
      </c>
      <c r="T358">
        <f>Source!Y161</f>
        <v>104.83</v>
      </c>
      <c r="U358">
        <f>ROUND((175/100)*ROUND((Source!AE161*Source!AV161)*Source!I161,2),2)</f>
        <v>46.34</v>
      </c>
      <c r="V358">
        <f>ROUND((167/100)*ROUND(Source!CS161*Source!I161,2),2)</f>
        <v>902</v>
      </c>
    </row>
    <row r="359" ht="12.75">
      <c r="C359" s="46" t="str">
        <f>"Объем: "&amp;Source!I161&amp;"=4/"&amp;"100"</f>
        <v>Объем: 0,04=4/100</v>
      </c>
    </row>
    <row r="360" spans="1:23" ht="14.25">
      <c r="A360" s="40"/>
      <c r="B360" s="41"/>
      <c r="C360" s="41" t="s">
        <v>554</v>
      </c>
      <c r="D360" s="42"/>
      <c r="E360" s="10"/>
      <c r="F360" s="44">
        <f>Source!AO161</f>
        <v>227.23</v>
      </c>
      <c r="G360" s="43">
        <f>Source!DG161</f>
      </c>
      <c r="H360" s="10">
        <f>Source!AV161</f>
        <v>1.047</v>
      </c>
      <c r="I360" s="45">
        <f>ROUND((Source!AF161*Source!AV161)*Source!I161,2)</f>
        <v>9.52</v>
      </c>
      <c r="J360" s="10">
        <f>IF(Source!BA161&lt;&gt;0,Source!BA161,1)</f>
        <v>20.4</v>
      </c>
      <c r="K360" s="45">
        <f>Source!S161</f>
        <v>194.13</v>
      </c>
      <c r="W360">
        <f>ROUND((Source!AF161*Source!AV161)*Source!I161,2)</f>
        <v>9.52</v>
      </c>
    </row>
    <row r="361" spans="1:11" ht="14.25">
      <c r="A361" s="40"/>
      <c r="B361" s="41"/>
      <c r="C361" s="41" t="s">
        <v>555</v>
      </c>
      <c r="D361" s="42"/>
      <c r="E361" s="10"/>
      <c r="F361" s="44">
        <f>Source!AM161</f>
        <v>3024.67</v>
      </c>
      <c r="G361" s="43">
        <f>Source!DE161</f>
      </c>
      <c r="H361" s="10">
        <f>Source!AV161</f>
        <v>1.047</v>
      </c>
      <c r="I361" s="45">
        <f>ROUND(((((Source!ET161)-(Source!EU161))+Source!AE161)*Source!AV161)*Source!I161,2)</f>
        <v>126.67</v>
      </c>
      <c r="J361" s="10">
        <f>IF(Source!BB161&lt;&gt;0,Source!BB161,1)</f>
        <v>11.91</v>
      </c>
      <c r="K361" s="45">
        <f>Source!Q161</f>
        <v>1508.68</v>
      </c>
    </row>
    <row r="362" spans="1:23" ht="14.25">
      <c r="A362" s="40"/>
      <c r="B362" s="41"/>
      <c r="C362" s="41" t="s">
        <v>556</v>
      </c>
      <c r="D362" s="42"/>
      <c r="E362" s="10"/>
      <c r="F362" s="44">
        <f>Source!AN161</f>
        <v>632.2</v>
      </c>
      <c r="G362" s="43">
        <f>Source!DF161</f>
      </c>
      <c r="H362" s="10">
        <f>Source!AV161</f>
        <v>1.047</v>
      </c>
      <c r="I362" s="47">
        <f>ROUND((Source!AE161*Source!AV161)*Source!I161,2)</f>
        <v>26.48</v>
      </c>
      <c r="J362" s="10">
        <f>IF(Source!BS161&lt;&gt;0,Source!BS161,1)</f>
        <v>20.4</v>
      </c>
      <c r="K362" s="47">
        <f>Source!R161</f>
        <v>540.12</v>
      </c>
      <c r="W362">
        <f>ROUND((Source!AE161*Source!AV161)*Source!I161,2)</f>
        <v>26.48</v>
      </c>
    </row>
    <row r="363" spans="1:11" ht="14.25">
      <c r="A363" s="40"/>
      <c r="B363" s="41"/>
      <c r="C363" s="41" t="s">
        <v>557</v>
      </c>
      <c r="D363" s="42"/>
      <c r="E363" s="10"/>
      <c r="F363" s="44">
        <f>Source!AL161</f>
        <v>49.49</v>
      </c>
      <c r="G363" s="43">
        <f>Source!DD161</f>
      </c>
      <c r="H363" s="10">
        <f>Source!AW161</f>
        <v>1.002</v>
      </c>
      <c r="I363" s="45">
        <f>ROUND((Source!AC161*Source!AW161)*Source!I161,2)</f>
        <v>1.98</v>
      </c>
      <c r="J363" s="10">
        <f>IF(Source!BC161&lt;&gt;0,Source!BC161,1)</f>
        <v>4.24</v>
      </c>
      <c r="K363" s="45">
        <f>Source!P161</f>
        <v>8.41</v>
      </c>
    </row>
    <row r="364" spans="1:27" ht="42.75">
      <c r="A364" s="40" t="str">
        <f>Source!E162</f>
        <v>29,1</v>
      </c>
      <c r="B364" s="41" t="str">
        <f>Source!F162</f>
        <v>1.1-1-1519</v>
      </c>
      <c r="C364" s="41" t="str">
        <f>Source!G162</f>
        <v>ЩЕБЕНЬ ИЗ ЕСТЕСТВЕННОГО КАМНЯ ДЛЯ СТРОИТЕЛЬНЫХ РАБОТ, МАРКА 300-200, ФРАКЦИЯ 10-20 ММ</v>
      </c>
      <c r="D364" s="42" t="str">
        <f>Source!H162</f>
        <v>м3</v>
      </c>
      <c r="E364" s="10">
        <f>Source!I162</f>
        <v>4</v>
      </c>
      <c r="F364" s="44">
        <f>Source!AK162</f>
        <v>183.09</v>
      </c>
      <c r="G364" s="54" t="s">
        <v>6</v>
      </c>
      <c r="H364" s="10">
        <f>Source!AW162</f>
        <v>1.002</v>
      </c>
      <c r="I364" s="45">
        <f>ROUND((Source!AC162*Source!AW162)*Source!I162,2)+ROUND(((((Source!ET162)-(Source!EU162))+Source!AE162)*Source!AV162)*Source!I162,2)+ROUND((Source!AF162*Source!AV162)*Source!I162,2)</f>
        <v>733.82</v>
      </c>
      <c r="J364" s="10">
        <f>IF(Source!BC162&lt;&gt;0,Source!BC162,1)</f>
        <v>8.24</v>
      </c>
      <c r="K364" s="45">
        <f>Source!O162</f>
        <v>6046.72</v>
      </c>
      <c r="Q364">
        <f>ROUND((Source!DN162/100)*ROUND((Source!AF162*Source!AV162)*Source!I162,2),2)</f>
        <v>0</v>
      </c>
      <c r="R364">
        <f>Source!X162</f>
        <v>0</v>
      </c>
      <c r="S364">
        <f>ROUND((Source!DO162/100)*ROUND((Source!AF162*Source!AV162)*Source!I162,2),2)</f>
        <v>0</v>
      </c>
      <c r="T364">
        <f>Source!Y162</f>
        <v>0</v>
      </c>
      <c r="U364">
        <f>ROUND((175/100)*ROUND((Source!AE162*Source!AV162)*Source!I162,2),2)</f>
        <v>0</v>
      </c>
      <c r="V364">
        <f>ROUND((167/100)*ROUND(Source!CS162*Source!I162,2),2)</f>
        <v>0</v>
      </c>
      <c r="X364">
        <f>IF(Source!BI162&lt;=1,I364,0)</f>
        <v>733.82</v>
      </c>
      <c r="Y364">
        <f>IF(Source!BI162=2,I364,0)</f>
        <v>0</v>
      </c>
      <c r="Z364">
        <f>IF(Source!BI162=3,I364,0)</f>
        <v>0</v>
      </c>
      <c r="AA364">
        <f>IF(Source!BI162=4,I364,0)</f>
        <v>0</v>
      </c>
    </row>
    <row r="365" spans="1:11" ht="14.25">
      <c r="A365" s="40"/>
      <c r="B365" s="41"/>
      <c r="C365" s="41" t="s">
        <v>558</v>
      </c>
      <c r="D365" s="42" t="s">
        <v>559</v>
      </c>
      <c r="E365" s="10">
        <f>Source!DN161</f>
        <v>161</v>
      </c>
      <c r="F365" s="44"/>
      <c r="G365" s="43"/>
      <c r="H365" s="10"/>
      <c r="I365" s="45">
        <f>SUM(Q358:Q364)</f>
        <v>15.33</v>
      </c>
      <c r="J365" s="10">
        <f>Source!BZ161</f>
        <v>131</v>
      </c>
      <c r="K365" s="45">
        <f>SUM(R358:R364)</f>
        <v>254.31</v>
      </c>
    </row>
    <row r="366" spans="1:11" ht="14.25">
      <c r="A366" s="40"/>
      <c r="B366" s="41"/>
      <c r="C366" s="41" t="s">
        <v>560</v>
      </c>
      <c r="D366" s="42" t="s">
        <v>559</v>
      </c>
      <c r="E366" s="10">
        <f>Source!DO161</f>
        <v>107</v>
      </c>
      <c r="F366" s="44"/>
      <c r="G366" s="43"/>
      <c r="H366" s="10"/>
      <c r="I366" s="45">
        <f>SUM(S358:S365)</f>
        <v>10.19</v>
      </c>
      <c r="J366" s="10">
        <f>Source!CA161</f>
        <v>54</v>
      </c>
      <c r="K366" s="45">
        <f>SUM(T358:T365)</f>
        <v>104.83</v>
      </c>
    </row>
    <row r="367" spans="1:11" ht="14.25">
      <c r="A367" s="40"/>
      <c r="B367" s="41"/>
      <c r="C367" s="41" t="s">
        <v>561</v>
      </c>
      <c r="D367" s="42" t="s">
        <v>559</v>
      </c>
      <c r="E367" s="10">
        <f>175</f>
        <v>175</v>
      </c>
      <c r="F367" s="44"/>
      <c r="G367" s="43"/>
      <c r="H367" s="10"/>
      <c r="I367" s="45">
        <f>SUM(U358:U366)</f>
        <v>46.34</v>
      </c>
      <c r="J367" s="10">
        <f>167</f>
        <v>167</v>
      </c>
      <c r="K367" s="45">
        <f>SUM(V358:V366)</f>
        <v>902</v>
      </c>
    </row>
    <row r="368" spans="1:28" ht="14.25">
      <c r="A368" s="40"/>
      <c r="B368" s="41"/>
      <c r="C368" s="41" t="s">
        <v>562</v>
      </c>
      <c r="D368" s="42" t="s">
        <v>563</v>
      </c>
      <c r="E368" s="10">
        <f>Source!AQ161</f>
        <v>21.6</v>
      </c>
      <c r="F368" s="44"/>
      <c r="G368" s="43">
        <f>Source!DI161</f>
      </c>
      <c r="H368" s="10">
        <f>Source!AV161</f>
        <v>1.047</v>
      </c>
      <c r="I368" s="45">
        <f>Source!U161</f>
        <v>0.9046080000000001</v>
      </c>
      <c r="J368" s="10"/>
      <c r="K368" s="45"/>
      <c r="AB368" s="48">
        <f>I368</f>
        <v>0.9046080000000001</v>
      </c>
    </row>
    <row r="369" spans="1:27" ht="15">
      <c r="A369" s="51"/>
      <c r="B369" s="51"/>
      <c r="C369" s="52" t="s">
        <v>564</v>
      </c>
      <c r="D369" s="51"/>
      <c r="E369" s="51"/>
      <c r="F369" s="51"/>
      <c r="G369" s="51"/>
      <c r="H369" s="53">
        <f>I360+I361+I363+I365+I366+I367+SUM(I364:I364)</f>
        <v>943.85</v>
      </c>
      <c r="I369" s="53"/>
      <c r="J369" s="53">
        <f>K360+K361+K363+K365+K366+K367+SUM(K364:K364)</f>
        <v>9019.08</v>
      </c>
      <c r="K369" s="53"/>
      <c r="O369" s="48">
        <f>H369</f>
        <v>943.85</v>
      </c>
      <c r="P369" s="48">
        <f>J369</f>
        <v>9019.08</v>
      </c>
      <c r="X369">
        <f>IF(Source!BI161&lt;=1,I360+I361+I363+I365+I366+I367-0,0)</f>
        <v>210.03</v>
      </c>
      <c r="Y369">
        <f>IF(Source!BI161=2,I360+I361+I363+I365+I366+I367-0,0)</f>
        <v>0</v>
      </c>
      <c r="Z369">
        <f>IF(Source!BI161=3,I360+I361+I363+I365+I366+I367-0,0)</f>
        <v>0</v>
      </c>
      <c r="AA369">
        <f>IF(Source!BI161=4,I360+I361+I363+I365+I366+I367,0)</f>
        <v>0</v>
      </c>
    </row>
    <row r="371" spans="1:22" ht="57">
      <c r="A371" s="40" t="str">
        <f>Source!E163</f>
        <v>30</v>
      </c>
      <c r="B371" s="41" t="str">
        <f>Source!F163</f>
        <v>3.27-42-1</v>
      </c>
      <c r="C371" s="41" t="str">
        <f>Source!G163</f>
        <v>УСТРОЙСТВО ПОКРЫТИЙ ИЗ ГОРЯЧИХ АСФАЛЬТОБЕТОННЫХ СМЕСЕЙ ТОЛЩИНОЙ 4 СМ КОМПЛЕКТОМ МАШИН</v>
      </c>
      <c r="D371" s="42" t="str">
        <f>Source!H163</f>
        <v>100 м2</v>
      </c>
      <c r="E371" s="10">
        <f>Source!I163</f>
        <v>0.2398</v>
      </c>
      <c r="F371" s="44"/>
      <c r="G371" s="43"/>
      <c r="H371" s="10"/>
      <c r="I371" s="45"/>
      <c r="J371" s="10"/>
      <c r="K371" s="45"/>
      <c r="Q371">
        <f>ROUND((Source!DN163/100)*ROUND((Source!AF163*Source!AV163)*Source!I163,2),2)</f>
        <v>21.09</v>
      </c>
      <c r="R371">
        <f>Source!X163</f>
        <v>350.05</v>
      </c>
      <c r="S371">
        <f>ROUND((Source!DO163/100)*ROUND((Source!AF163*Source!AV163)*Source!I163,2),2)</f>
        <v>14.02</v>
      </c>
      <c r="T371">
        <f>Source!Y163</f>
        <v>144.29</v>
      </c>
      <c r="U371">
        <f>ROUND((175/100)*ROUND((Source!AE163*Source!AV163)*Source!I163,2),2)</f>
        <v>33.5</v>
      </c>
      <c r="V371">
        <f>ROUND((167/100)*ROUND(Source!CS163*Source!I163,2),2)</f>
        <v>651.95</v>
      </c>
    </row>
    <row r="372" ht="12.75">
      <c r="C372" s="46" t="str">
        <f>"Объем: "&amp;Source!I163&amp;"=23,98/"&amp;"100"</f>
        <v>Объем: 0,2398=23,98/100</v>
      </c>
    </row>
    <row r="373" spans="1:23" ht="14.25">
      <c r="A373" s="40"/>
      <c r="B373" s="41"/>
      <c r="C373" s="41" t="s">
        <v>554</v>
      </c>
      <c r="D373" s="42"/>
      <c r="E373" s="10"/>
      <c r="F373" s="44">
        <f>Source!AO163</f>
        <v>52.17</v>
      </c>
      <c r="G373" s="43">
        <f>Source!DG163</f>
      </c>
      <c r="H373" s="10">
        <f>Source!AV163</f>
        <v>1.047</v>
      </c>
      <c r="I373" s="45">
        <f>ROUND((Source!AF163*Source!AV163)*Source!I163,2)</f>
        <v>13.1</v>
      </c>
      <c r="J373" s="10">
        <f>IF(Source!BA163&lt;&gt;0,Source!BA163,1)</f>
        <v>20.4</v>
      </c>
      <c r="K373" s="45">
        <f>Source!S163</f>
        <v>267.21</v>
      </c>
      <c r="W373">
        <f>ROUND((Source!AF163*Source!AV163)*Source!I163,2)</f>
        <v>13.1</v>
      </c>
    </row>
    <row r="374" spans="1:11" ht="14.25">
      <c r="A374" s="40"/>
      <c r="B374" s="41"/>
      <c r="C374" s="41" t="s">
        <v>555</v>
      </c>
      <c r="D374" s="42"/>
      <c r="E374" s="10"/>
      <c r="F374" s="44">
        <f>Source!AM163</f>
        <v>419.23</v>
      </c>
      <c r="G374" s="43">
        <f>Source!DE163</f>
      </c>
      <c r="H374" s="10">
        <f>Source!AV163</f>
        <v>1.047</v>
      </c>
      <c r="I374" s="45">
        <f>ROUND(((((Source!ET163)-(Source!EU163))+Source!AE163)*Source!AV163)*Source!I163,2)</f>
        <v>105.26</v>
      </c>
      <c r="J374" s="10">
        <f>IF(Source!BB163&lt;&gt;0,Source!BB163,1)</f>
        <v>9.54</v>
      </c>
      <c r="K374" s="45">
        <f>Source!Q163</f>
        <v>1004.15</v>
      </c>
    </row>
    <row r="375" spans="1:23" ht="14.25">
      <c r="A375" s="40"/>
      <c r="B375" s="41"/>
      <c r="C375" s="41" t="s">
        <v>556</v>
      </c>
      <c r="D375" s="42"/>
      <c r="E375" s="10"/>
      <c r="F375" s="44">
        <f>Source!AN163</f>
        <v>76.22</v>
      </c>
      <c r="G375" s="43">
        <f>Source!DF163</f>
      </c>
      <c r="H375" s="10">
        <f>Source!AV163</f>
        <v>1.047</v>
      </c>
      <c r="I375" s="47">
        <f>ROUND((Source!AE163*Source!AV163)*Source!I163,2)</f>
        <v>19.14</v>
      </c>
      <c r="J375" s="10">
        <f>IF(Source!BS163&lt;&gt;0,Source!BS163,1)</f>
        <v>20.4</v>
      </c>
      <c r="K375" s="47">
        <f>Source!R163</f>
        <v>390.39</v>
      </c>
      <c r="W375">
        <f>ROUND((Source!AE163*Source!AV163)*Source!I163,2)</f>
        <v>19.14</v>
      </c>
    </row>
    <row r="376" spans="1:11" ht="14.25">
      <c r="A376" s="40"/>
      <c r="B376" s="41"/>
      <c r="C376" s="41" t="s">
        <v>557</v>
      </c>
      <c r="D376" s="42"/>
      <c r="E376" s="10"/>
      <c r="F376" s="44">
        <f>Source!AL163</f>
        <v>57.83</v>
      </c>
      <c r="G376" s="43">
        <f>Source!DD163</f>
      </c>
      <c r="H376" s="10">
        <f>Source!AW163</f>
        <v>1</v>
      </c>
      <c r="I376" s="45">
        <f>ROUND((Source!AC163*Source!AW163)*Source!I163,2)</f>
        <v>13.87</v>
      </c>
      <c r="J376" s="10">
        <f>IF(Source!BC163&lt;&gt;0,Source!BC163,1)</f>
        <v>8.96</v>
      </c>
      <c r="K376" s="45">
        <f>Source!P163</f>
        <v>124.25</v>
      </c>
    </row>
    <row r="377" spans="1:11" ht="14.25">
      <c r="A377" s="40"/>
      <c r="B377" s="41"/>
      <c r="C377" s="41" t="s">
        <v>558</v>
      </c>
      <c r="D377" s="42" t="s">
        <v>559</v>
      </c>
      <c r="E377" s="10">
        <f>Source!DN163</f>
        <v>161</v>
      </c>
      <c r="F377" s="44"/>
      <c r="G377" s="43"/>
      <c r="H377" s="10"/>
      <c r="I377" s="45">
        <f>SUM(Q371:Q376)</f>
        <v>21.09</v>
      </c>
      <c r="J377" s="10">
        <f>Source!BZ163</f>
        <v>131</v>
      </c>
      <c r="K377" s="45">
        <f>SUM(R371:R376)</f>
        <v>350.05</v>
      </c>
    </row>
    <row r="378" spans="1:11" ht="14.25">
      <c r="A378" s="40"/>
      <c r="B378" s="41"/>
      <c r="C378" s="41" t="s">
        <v>560</v>
      </c>
      <c r="D378" s="42" t="s">
        <v>559</v>
      </c>
      <c r="E378" s="10">
        <f>Source!DO163</f>
        <v>107</v>
      </c>
      <c r="F378" s="44"/>
      <c r="G378" s="43"/>
      <c r="H378" s="10"/>
      <c r="I378" s="45">
        <f>SUM(S371:S377)</f>
        <v>14.02</v>
      </c>
      <c r="J378" s="10">
        <f>Source!CA163</f>
        <v>54</v>
      </c>
      <c r="K378" s="45">
        <f>SUM(T371:T377)</f>
        <v>144.29</v>
      </c>
    </row>
    <row r="379" spans="1:11" ht="14.25">
      <c r="A379" s="40"/>
      <c r="B379" s="41"/>
      <c r="C379" s="41" t="s">
        <v>561</v>
      </c>
      <c r="D379" s="42" t="s">
        <v>559</v>
      </c>
      <c r="E379" s="10">
        <f>175</f>
        <v>175</v>
      </c>
      <c r="F379" s="44"/>
      <c r="G379" s="43"/>
      <c r="H379" s="10"/>
      <c r="I379" s="45">
        <f>SUM(U371:U378)</f>
        <v>33.5</v>
      </c>
      <c r="J379" s="10">
        <f>167</f>
        <v>167</v>
      </c>
      <c r="K379" s="45">
        <f>SUM(V371:V378)</f>
        <v>651.95</v>
      </c>
    </row>
    <row r="380" spans="1:28" ht="14.25">
      <c r="A380" s="40"/>
      <c r="B380" s="41"/>
      <c r="C380" s="41" t="s">
        <v>562</v>
      </c>
      <c r="D380" s="42" t="s">
        <v>563</v>
      </c>
      <c r="E380" s="10">
        <f>Source!AQ163</f>
        <v>4.29</v>
      </c>
      <c r="F380" s="44"/>
      <c r="G380" s="43">
        <f>Source!DI163</f>
      </c>
      <c r="H380" s="10">
        <f>Source!AV163</f>
        <v>1.047</v>
      </c>
      <c r="I380" s="45">
        <f>Source!U163</f>
        <v>1.077092874</v>
      </c>
      <c r="J380" s="10"/>
      <c r="K380" s="45"/>
      <c r="AB380" s="48">
        <f>I380</f>
        <v>1.077092874</v>
      </c>
    </row>
    <row r="381" spans="1:27" ht="15">
      <c r="A381" s="51"/>
      <c r="B381" s="51"/>
      <c r="C381" s="52" t="s">
        <v>564</v>
      </c>
      <c r="D381" s="51"/>
      <c r="E381" s="51"/>
      <c r="F381" s="51"/>
      <c r="G381" s="51"/>
      <c r="H381" s="53">
        <f>I373+I374+I376+I377+I378+I379</f>
        <v>200.84</v>
      </c>
      <c r="I381" s="53"/>
      <c r="J381" s="53">
        <f>K373+K374+K376+K377+K378+K379</f>
        <v>2541.8999999999996</v>
      </c>
      <c r="K381" s="53"/>
      <c r="O381" s="48">
        <f>H381</f>
        <v>200.84</v>
      </c>
      <c r="P381" s="48">
        <f>J381</f>
        <v>2541.8999999999996</v>
      </c>
      <c r="X381">
        <f>IF(Source!BI163&lt;=1,I373+I374+I376+I377+I378+I379-0,0)</f>
        <v>200.84</v>
      </c>
      <c r="Y381">
        <f>IF(Source!BI163=2,I373+I374+I376+I377+I378+I379-0,0)</f>
        <v>0</v>
      </c>
      <c r="Z381">
        <f>IF(Source!BI163=3,I373+I374+I376+I377+I378+I379-0,0)</f>
        <v>0</v>
      </c>
      <c r="AA381">
        <f>IF(Source!BI163=4,I373+I374+I376+I377+I378+I379,0)</f>
        <v>0</v>
      </c>
    </row>
    <row r="383" spans="1:22" ht="42.75">
      <c r="A383" s="40" t="str">
        <f>Source!E164</f>
        <v>31</v>
      </c>
      <c r="B383" s="41" t="str">
        <f>Source!F164</f>
        <v>3.27-43-1</v>
      </c>
      <c r="C383" s="41" t="str">
        <f>Source!G164</f>
        <v>ДОБАВЛЯЕТСЯ НА КАЖДЫЙ 1 СМ ИЗМЕНЕНИЯ ТОЛЩИНЫ СЛОЯ СВЕРХ 4 СМ К ПОЗ. 27-42-1</v>
      </c>
      <c r="D383" s="42" t="str">
        <f>Source!H164</f>
        <v>100 м2</v>
      </c>
      <c r="E383" s="10">
        <f>Source!I164</f>
        <v>0.9592</v>
      </c>
      <c r="F383" s="44"/>
      <c r="G383" s="43"/>
      <c r="H383" s="10"/>
      <c r="I383" s="45"/>
      <c r="J383" s="10"/>
      <c r="K383" s="45"/>
      <c r="Q383">
        <f>ROUND((Source!DN164/100)*ROUND((Source!AF164*Source!AV164)*Source!I164,2),2)</f>
        <v>11.21</v>
      </c>
      <c r="R383">
        <f>Source!X164</f>
        <v>185.99</v>
      </c>
      <c r="S383">
        <f>ROUND((Source!DO164/100)*ROUND((Source!AF164*Source!AV164)*Source!I164,2),2)</f>
        <v>7.45</v>
      </c>
      <c r="T383">
        <f>Source!Y164</f>
        <v>76.67</v>
      </c>
      <c r="U383">
        <f>ROUND((175/100)*ROUND((Source!AE164*Source!AV164)*Source!I164,2),2)</f>
        <v>6.28</v>
      </c>
      <c r="V383">
        <f>ROUND((167/100)*ROUND(Source!CS164*Source!I164,2),2)</f>
        <v>122.14</v>
      </c>
    </row>
    <row r="384" ht="12.75">
      <c r="C384" s="46" t="str">
        <f>"Объем: "&amp;Source!I164&amp;"=95,92/"&amp;"100"</f>
        <v>Объем: 0,9592=95,92/100</v>
      </c>
    </row>
    <row r="385" spans="1:23" ht="14.25">
      <c r="A385" s="40"/>
      <c r="B385" s="41"/>
      <c r="C385" s="41" t="s">
        <v>554</v>
      </c>
      <c r="D385" s="42"/>
      <c r="E385" s="10"/>
      <c r="F385" s="44">
        <f>Source!AO164</f>
        <v>6.93</v>
      </c>
      <c r="G385" s="43">
        <f>Source!DG164</f>
      </c>
      <c r="H385" s="10">
        <f>Source!AV164</f>
        <v>1.047</v>
      </c>
      <c r="I385" s="45">
        <f>ROUND((Source!AF164*Source!AV164)*Source!I164,2)</f>
        <v>6.96</v>
      </c>
      <c r="J385" s="10">
        <f>IF(Source!BA164&lt;&gt;0,Source!BA164,1)</f>
        <v>20.4</v>
      </c>
      <c r="K385" s="45">
        <f>Source!S164</f>
        <v>141.98</v>
      </c>
      <c r="W385">
        <f>ROUND((Source!AF164*Source!AV164)*Source!I164,2)</f>
        <v>6.96</v>
      </c>
    </row>
    <row r="386" spans="1:11" ht="14.25">
      <c r="A386" s="40"/>
      <c r="B386" s="41"/>
      <c r="C386" s="41" t="s">
        <v>555</v>
      </c>
      <c r="D386" s="42"/>
      <c r="E386" s="10"/>
      <c r="F386" s="44">
        <f>Source!AM164</f>
        <v>17.35</v>
      </c>
      <c r="G386" s="43">
        <f>Source!DE164</f>
      </c>
      <c r="H386" s="10">
        <f>Source!AV164</f>
        <v>1.047</v>
      </c>
      <c r="I386" s="45">
        <f>ROUND(((((Source!ET164)-(Source!EU164))+Source!AE164)*Source!AV164)*Source!I164,2)</f>
        <v>17.42</v>
      </c>
      <c r="J386" s="10">
        <f>IF(Source!BB164&lt;&gt;0,Source!BB164,1)</f>
        <v>8.55</v>
      </c>
      <c r="K386" s="45">
        <f>Source!Q164</f>
        <v>148.98</v>
      </c>
    </row>
    <row r="387" spans="1:23" ht="14.25">
      <c r="A387" s="40"/>
      <c r="B387" s="41"/>
      <c r="C387" s="41" t="s">
        <v>556</v>
      </c>
      <c r="D387" s="42"/>
      <c r="E387" s="10"/>
      <c r="F387" s="44">
        <f>Source!AN164</f>
        <v>3.57</v>
      </c>
      <c r="G387" s="43">
        <f>Source!DF164</f>
      </c>
      <c r="H387" s="10">
        <f>Source!AV164</f>
        <v>1.047</v>
      </c>
      <c r="I387" s="47">
        <f>ROUND((Source!AE164*Source!AV164)*Source!I164,2)</f>
        <v>3.59</v>
      </c>
      <c r="J387" s="10">
        <f>IF(Source!BS164&lt;&gt;0,Source!BS164,1)</f>
        <v>20.4</v>
      </c>
      <c r="K387" s="47">
        <f>Source!R164</f>
        <v>73.14</v>
      </c>
      <c r="W387">
        <f>ROUND((Source!AE164*Source!AV164)*Source!I164,2)</f>
        <v>3.59</v>
      </c>
    </row>
    <row r="388" spans="1:11" ht="14.25">
      <c r="A388" s="40"/>
      <c r="B388" s="41"/>
      <c r="C388" s="41" t="s">
        <v>557</v>
      </c>
      <c r="D388" s="42"/>
      <c r="E388" s="10"/>
      <c r="F388" s="44">
        <f>Source!AL164</f>
        <v>0</v>
      </c>
      <c r="G388" s="43">
        <f>Source!DD164</f>
      </c>
      <c r="H388" s="10">
        <f>Source!AW164</f>
        <v>1</v>
      </c>
      <c r="I388" s="45">
        <f>ROUND((Source!AC164*Source!AW164)*Source!I164,2)</f>
        <v>0</v>
      </c>
      <c r="J388" s="10">
        <f>IF(Source!BC164&lt;&gt;0,Source!BC164,1)</f>
        <v>1</v>
      </c>
      <c r="K388" s="45">
        <f>Source!P164</f>
        <v>0</v>
      </c>
    </row>
    <row r="389" spans="1:11" ht="14.25">
      <c r="A389" s="40"/>
      <c r="B389" s="41"/>
      <c r="C389" s="41" t="s">
        <v>558</v>
      </c>
      <c r="D389" s="42" t="s">
        <v>559</v>
      </c>
      <c r="E389" s="10">
        <f>Source!DN164</f>
        <v>161</v>
      </c>
      <c r="F389" s="44"/>
      <c r="G389" s="43"/>
      <c r="H389" s="10"/>
      <c r="I389" s="45">
        <f>SUM(Q383:Q388)</f>
        <v>11.21</v>
      </c>
      <c r="J389" s="10">
        <f>Source!BZ164</f>
        <v>131</v>
      </c>
      <c r="K389" s="45">
        <f>SUM(R383:R388)</f>
        <v>185.99</v>
      </c>
    </row>
    <row r="390" spans="1:11" ht="14.25">
      <c r="A390" s="40"/>
      <c r="B390" s="41"/>
      <c r="C390" s="41" t="s">
        <v>560</v>
      </c>
      <c r="D390" s="42" t="s">
        <v>559</v>
      </c>
      <c r="E390" s="10">
        <f>Source!DO164</f>
        <v>107</v>
      </c>
      <c r="F390" s="44"/>
      <c r="G390" s="43"/>
      <c r="H390" s="10"/>
      <c r="I390" s="45">
        <f>SUM(S383:S389)</f>
        <v>7.45</v>
      </c>
      <c r="J390" s="10">
        <f>Source!CA164</f>
        <v>54</v>
      </c>
      <c r="K390" s="45">
        <f>SUM(T383:T389)</f>
        <v>76.67</v>
      </c>
    </row>
    <row r="391" spans="1:11" ht="14.25">
      <c r="A391" s="40"/>
      <c r="B391" s="41"/>
      <c r="C391" s="41" t="s">
        <v>561</v>
      </c>
      <c r="D391" s="42" t="s">
        <v>559</v>
      </c>
      <c r="E391" s="10">
        <f>175</f>
        <v>175</v>
      </c>
      <c r="F391" s="44"/>
      <c r="G391" s="43"/>
      <c r="H391" s="10"/>
      <c r="I391" s="45">
        <f>SUM(U383:U390)</f>
        <v>6.28</v>
      </c>
      <c r="J391" s="10">
        <f>167</f>
        <v>167</v>
      </c>
      <c r="K391" s="45">
        <f>SUM(V383:V390)</f>
        <v>122.14</v>
      </c>
    </row>
    <row r="392" spans="1:28" ht="14.25">
      <c r="A392" s="40"/>
      <c r="B392" s="41"/>
      <c r="C392" s="41" t="s">
        <v>562</v>
      </c>
      <c r="D392" s="42" t="s">
        <v>563</v>
      </c>
      <c r="E392" s="10">
        <f>Source!AQ164</f>
        <v>0.53</v>
      </c>
      <c r="F392" s="44"/>
      <c r="G392" s="43">
        <f>Source!DI164</f>
      </c>
      <c r="H392" s="10">
        <f>Source!AV164</f>
        <v>1.047</v>
      </c>
      <c r="I392" s="45">
        <f>Source!U164</f>
        <v>0.5322696720000001</v>
      </c>
      <c r="J392" s="10"/>
      <c r="K392" s="45"/>
      <c r="AB392" s="48">
        <f>I392</f>
        <v>0.5322696720000001</v>
      </c>
    </row>
    <row r="393" spans="1:27" ht="15">
      <c r="A393" s="51"/>
      <c r="B393" s="51"/>
      <c r="C393" s="52" t="s">
        <v>564</v>
      </c>
      <c r="D393" s="51"/>
      <c r="E393" s="51"/>
      <c r="F393" s="51"/>
      <c r="G393" s="51"/>
      <c r="H393" s="53">
        <f>I385+I386+I388+I389+I390+I391</f>
        <v>49.32000000000001</v>
      </c>
      <c r="I393" s="53"/>
      <c r="J393" s="53">
        <f>K385+K386+K388+K389+K390+K391</f>
        <v>675.76</v>
      </c>
      <c r="K393" s="53"/>
      <c r="O393" s="48">
        <f>H393</f>
        <v>49.32000000000001</v>
      </c>
      <c r="P393" s="48">
        <f>J393</f>
        <v>675.76</v>
      </c>
      <c r="X393">
        <f>IF(Source!BI164&lt;=1,I385+I386+I388+I389+I390+I391-0,0)</f>
        <v>49.32000000000001</v>
      </c>
      <c r="Y393">
        <f>IF(Source!BI164=2,I385+I386+I388+I389+I390+I391-0,0)</f>
        <v>0</v>
      </c>
      <c r="Z393">
        <f>IF(Source!BI164=3,I385+I386+I388+I389+I390+I391-0,0)</f>
        <v>0</v>
      </c>
      <c r="AA393">
        <f>IF(Source!BI164=4,I385+I386+I388+I389+I390+I391,0)</f>
        <v>0</v>
      </c>
    </row>
    <row r="395" spans="1:22" ht="42.75">
      <c r="A395" s="40" t="str">
        <f>Source!E165</f>
        <v>32</v>
      </c>
      <c r="B395" s="41" t="str">
        <f>Source!F165</f>
        <v>1.3-3-3</v>
      </c>
      <c r="C395" s="41" t="str">
        <f>Source!G165</f>
        <v>СМЕСИ АСФАЛЬТОБЕТОННЫЕ ДОРОЖНЫЕ ГОРЯЧИЕ КРУПНОЗЕРНИСТЫЕ, ТИП I</v>
      </c>
      <c r="D395" s="42" t="str">
        <f>Source!H165</f>
        <v>т</v>
      </c>
      <c r="E395" s="10">
        <f>Source!I165</f>
        <v>4.79</v>
      </c>
      <c r="F395" s="44">
        <f>Source!AL165</f>
        <v>296.7</v>
      </c>
      <c r="G395" s="43">
        <f>Source!DD165</f>
      </c>
      <c r="H395" s="10">
        <f>Source!AW165</f>
        <v>1</v>
      </c>
      <c r="I395" s="45">
        <f>ROUND((Source!AC165*Source!AW165)*Source!I165,2)</f>
        <v>1421.19</v>
      </c>
      <c r="J395" s="10">
        <f>IF(Source!BC165&lt;&gt;0,Source!BC165,1)</f>
        <v>8.7</v>
      </c>
      <c r="K395" s="45">
        <f>Source!P165</f>
        <v>12364.38</v>
      </c>
      <c r="Q395">
        <f>ROUND((Source!DN165/100)*ROUND((Source!AF165*Source!AV165)*Source!I165,2),2)</f>
        <v>0</v>
      </c>
      <c r="R395">
        <f>Source!X165</f>
        <v>0</v>
      </c>
      <c r="S395">
        <f>ROUND((Source!DO165/100)*ROUND((Source!AF165*Source!AV165)*Source!I165,2),2)</f>
        <v>0</v>
      </c>
      <c r="T395">
        <f>Source!Y165</f>
        <v>0</v>
      </c>
      <c r="U395">
        <f>ROUND((175/100)*ROUND((Source!AE165*Source!AV165)*Source!I165,2),2)</f>
        <v>0</v>
      </c>
      <c r="V395">
        <f>ROUND((167/100)*ROUND(Source!CS165*Source!I165,2),2)</f>
        <v>0</v>
      </c>
    </row>
    <row r="396" spans="1:27" ht="15">
      <c r="A396" s="51"/>
      <c r="B396" s="51"/>
      <c r="C396" s="52" t="s">
        <v>564</v>
      </c>
      <c r="D396" s="51"/>
      <c r="E396" s="51"/>
      <c r="F396" s="51"/>
      <c r="G396" s="51"/>
      <c r="H396" s="53">
        <f>I395</f>
        <v>1421.19</v>
      </c>
      <c r="I396" s="53"/>
      <c r="J396" s="53">
        <f>K395</f>
        <v>12364.38</v>
      </c>
      <c r="K396" s="53"/>
      <c r="O396" s="48">
        <f>H396</f>
        <v>1421.19</v>
      </c>
      <c r="P396" s="48">
        <f>J396</f>
        <v>12364.38</v>
      </c>
      <c r="X396">
        <f>IF(Source!BI165&lt;=1,I395-0,0)</f>
        <v>1421.19</v>
      </c>
      <c r="Y396">
        <f>IF(Source!BI165=2,I395-0,0)</f>
        <v>0</v>
      </c>
      <c r="Z396">
        <f>IF(Source!BI165=3,I395-0,0)</f>
        <v>0</v>
      </c>
      <c r="AA396">
        <f>IF(Source!BI165=4,I395,0)</f>
        <v>0</v>
      </c>
    </row>
    <row r="398" spans="1:22" ht="57">
      <c r="A398" s="40" t="str">
        <f>Source!E166</f>
        <v>33</v>
      </c>
      <c r="B398" s="41" t="str">
        <f>Source!F166</f>
        <v>3.27-42-1</v>
      </c>
      <c r="C398" s="41" t="str">
        <f>Source!G166</f>
        <v>УСТРОЙСТВО ПОКРЫТИЙ ИЗ ГОРЯЧИХ АСФАЛЬТОБЕТОННЫХ СМЕСЕЙ ТОЛЩИНОЙ 4 СМ КОМПЛЕКТОМ МАШИН</v>
      </c>
      <c r="D398" s="42" t="str">
        <f>Source!H166</f>
        <v>100 м2</v>
      </c>
      <c r="E398" s="10">
        <f>Source!I166</f>
        <v>0.39</v>
      </c>
      <c r="F398" s="44"/>
      <c r="G398" s="43"/>
      <c r="H398" s="10"/>
      <c r="I398" s="45"/>
      <c r="J398" s="10"/>
      <c r="K398" s="45"/>
      <c r="Q398">
        <f>ROUND((Source!DN166/100)*ROUND((Source!AF166*Source!AV166)*Source!I166,2),2)</f>
        <v>34.29</v>
      </c>
      <c r="R398">
        <f>Source!X166</f>
        <v>569.29</v>
      </c>
      <c r="S398">
        <f>ROUND((Source!DO166/100)*ROUND((Source!AF166*Source!AV166)*Source!I166,2),2)</f>
        <v>22.79</v>
      </c>
      <c r="T398">
        <f>Source!Y166</f>
        <v>234.67</v>
      </c>
      <c r="U398">
        <f>ROUND((175/100)*ROUND((Source!AE166*Source!AV166)*Source!I166,2),2)</f>
        <v>54.46</v>
      </c>
      <c r="V398">
        <f>ROUND((167/100)*ROUND(Source!CS166*Source!I166,2),2)</f>
        <v>1060.3</v>
      </c>
    </row>
    <row r="399" ht="12.75">
      <c r="C399" s="46" t="str">
        <f>"Объем: "&amp;Source!I166&amp;"=39/"&amp;"100"</f>
        <v>Объем: 0,39=39/100</v>
      </c>
    </row>
    <row r="400" spans="1:23" ht="14.25">
      <c r="A400" s="40"/>
      <c r="B400" s="41"/>
      <c r="C400" s="41" t="s">
        <v>554</v>
      </c>
      <c r="D400" s="42"/>
      <c r="E400" s="10"/>
      <c r="F400" s="44">
        <f>Source!AO166</f>
        <v>52.17</v>
      </c>
      <c r="G400" s="43">
        <f>Source!DG166</f>
      </c>
      <c r="H400" s="10">
        <f>Source!AV166</f>
        <v>1.047</v>
      </c>
      <c r="I400" s="45">
        <f>ROUND((Source!AF166*Source!AV166)*Source!I166,2)</f>
        <v>21.3</v>
      </c>
      <c r="J400" s="10">
        <f>IF(Source!BA166&lt;&gt;0,Source!BA166,1)</f>
        <v>20.4</v>
      </c>
      <c r="K400" s="45">
        <f>Source!S166</f>
        <v>434.57</v>
      </c>
      <c r="W400">
        <f>ROUND((Source!AF166*Source!AV166)*Source!I166,2)</f>
        <v>21.3</v>
      </c>
    </row>
    <row r="401" spans="1:11" ht="14.25">
      <c r="A401" s="40"/>
      <c r="B401" s="41"/>
      <c r="C401" s="41" t="s">
        <v>555</v>
      </c>
      <c r="D401" s="42"/>
      <c r="E401" s="10"/>
      <c r="F401" s="44">
        <f>Source!AM166</f>
        <v>419.23</v>
      </c>
      <c r="G401" s="43">
        <f>Source!DE166</f>
      </c>
      <c r="H401" s="10">
        <f>Source!AV166</f>
        <v>1.047</v>
      </c>
      <c r="I401" s="45">
        <f>ROUND(((((Source!ET166)-(Source!EU166))+Source!AE166)*Source!AV166)*Source!I166,2)</f>
        <v>171.18</v>
      </c>
      <c r="J401" s="10">
        <f>IF(Source!BB166&lt;&gt;0,Source!BB166,1)</f>
        <v>9.54</v>
      </c>
      <c r="K401" s="45">
        <f>Source!Q166</f>
        <v>1633.1</v>
      </c>
    </row>
    <row r="402" spans="1:23" ht="14.25">
      <c r="A402" s="40"/>
      <c r="B402" s="41"/>
      <c r="C402" s="41" t="s">
        <v>556</v>
      </c>
      <c r="D402" s="42"/>
      <c r="E402" s="10"/>
      <c r="F402" s="44">
        <f>Source!AN166</f>
        <v>76.22</v>
      </c>
      <c r="G402" s="43">
        <f>Source!DF166</f>
      </c>
      <c r="H402" s="10">
        <f>Source!AV166</f>
        <v>1.047</v>
      </c>
      <c r="I402" s="47">
        <f>ROUND((Source!AE166*Source!AV166)*Source!I166,2)</f>
        <v>31.12</v>
      </c>
      <c r="J402" s="10">
        <f>IF(Source!BS166&lt;&gt;0,Source!BS166,1)</f>
        <v>20.4</v>
      </c>
      <c r="K402" s="47">
        <f>Source!R166</f>
        <v>634.91</v>
      </c>
      <c r="W402">
        <f>ROUND((Source!AE166*Source!AV166)*Source!I166,2)</f>
        <v>31.12</v>
      </c>
    </row>
    <row r="403" spans="1:11" ht="14.25">
      <c r="A403" s="40"/>
      <c r="B403" s="41"/>
      <c r="C403" s="41" t="s">
        <v>557</v>
      </c>
      <c r="D403" s="42"/>
      <c r="E403" s="10"/>
      <c r="F403" s="44">
        <f>Source!AL166</f>
        <v>57.83</v>
      </c>
      <c r="G403" s="43">
        <f>Source!DD166</f>
      </c>
      <c r="H403" s="10">
        <f>Source!AW166</f>
        <v>1</v>
      </c>
      <c r="I403" s="45">
        <f>ROUND((Source!AC166*Source!AW166)*Source!I166,2)</f>
        <v>22.55</v>
      </c>
      <c r="J403" s="10">
        <f>IF(Source!BC166&lt;&gt;0,Source!BC166,1)</f>
        <v>8.96</v>
      </c>
      <c r="K403" s="45">
        <f>Source!P166</f>
        <v>202.08</v>
      </c>
    </row>
    <row r="404" spans="1:11" ht="14.25">
      <c r="A404" s="40"/>
      <c r="B404" s="41"/>
      <c r="C404" s="41" t="s">
        <v>558</v>
      </c>
      <c r="D404" s="42" t="s">
        <v>559</v>
      </c>
      <c r="E404" s="10">
        <f>Source!DN166</f>
        <v>161</v>
      </c>
      <c r="F404" s="44"/>
      <c r="G404" s="43"/>
      <c r="H404" s="10"/>
      <c r="I404" s="45">
        <f>SUM(Q398:Q403)</f>
        <v>34.29</v>
      </c>
      <c r="J404" s="10">
        <f>Source!BZ166</f>
        <v>131</v>
      </c>
      <c r="K404" s="45">
        <f>SUM(R398:R403)</f>
        <v>569.29</v>
      </c>
    </row>
    <row r="405" spans="1:11" ht="14.25">
      <c r="A405" s="40"/>
      <c r="B405" s="41"/>
      <c r="C405" s="41" t="s">
        <v>560</v>
      </c>
      <c r="D405" s="42" t="s">
        <v>559</v>
      </c>
      <c r="E405" s="10">
        <f>Source!DO166</f>
        <v>107</v>
      </c>
      <c r="F405" s="44"/>
      <c r="G405" s="43"/>
      <c r="H405" s="10"/>
      <c r="I405" s="45">
        <f>SUM(S398:S404)</f>
        <v>22.79</v>
      </c>
      <c r="J405" s="10">
        <f>Source!CA166</f>
        <v>54</v>
      </c>
      <c r="K405" s="45">
        <f>SUM(T398:T404)</f>
        <v>234.67</v>
      </c>
    </row>
    <row r="406" spans="1:11" ht="14.25">
      <c r="A406" s="40"/>
      <c r="B406" s="41"/>
      <c r="C406" s="41" t="s">
        <v>561</v>
      </c>
      <c r="D406" s="42" t="s">
        <v>559</v>
      </c>
      <c r="E406" s="10">
        <f>175</f>
        <v>175</v>
      </c>
      <c r="F406" s="44"/>
      <c r="G406" s="43"/>
      <c r="H406" s="10"/>
      <c r="I406" s="45">
        <f>SUM(U398:U405)</f>
        <v>54.46</v>
      </c>
      <c r="J406" s="10">
        <f>167</f>
        <v>167</v>
      </c>
      <c r="K406" s="45">
        <f>SUM(V398:V405)</f>
        <v>1060.3</v>
      </c>
    </row>
    <row r="407" spans="1:28" ht="14.25">
      <c r="A407" s="40"/>
      <c r="B407" s="41"/>
      <c r="C407" s="41" t="s">
        <v>562</v>
      </c>
      <c r="D407" s="42" t="s">
        <v>563</v>
      </c>
      <c r="E407" s="10">
        <f>Source!AQ166</f>
        <v>4.29</v>
      </c>
      <c r="F407" s="44"/>
      <c r="G407" s="43">
        <f>Source!DI166</f>
      </c>
      <c r="H407" s="10">
        <f>Source!AV166</f>
        <v>1.047</v>
      </c>
      <c r="I407" s="45">
        <f>Source!U166</f>
        <v>1.7517357</v>
      </c>
      <c r="J407" s="10"/>
      <c r="K407" s="45"/>
      <c r="AB407" s="48">
        <f>I407</f>
        <v>1.7517357</v>
      </c>
    </row>
    <row r="408" spans="1:27" ht="15">
      <c r="A408" s="51"/>
      <c r="B408" s="51"/>
      <c r="C408" s="52" t="s">
        <v>564</v>
      </c>
      <c r="D408" s="51"/>
      <c r="E408" s="51"/>
      <c r="F408" s="51"/>
      <c r="G408" s="51"/>
      <c r="H408" s="53">
        <f>I400+I401+I403+I404+I405+I406</f>
        <v>326.57</v>
      </c>
      <c r="I408" s="53"/>
      <c r="J408" s="53">
        <f>K400+K401+K403+K404+K405+K406</f>
        <v>4134.01</v>
      </c>
      <c r="K408" s="53"/>
      <c r="O408" s="48">
        <f>H408</f>
        <v>326.57</v>
      </c>
      <c r="P408" s="48">
        <f>J408</f>
        <v>4134.01</v>
      </c>
      <c r="X408">
        <f>IF(Source!BI166&lt;=1,I400+I401+I403+I404+I405+I406-0,0)</f>
        <v>326.57</v>
      </c>
      <c r="Y408">
        <f>IF(Source!BI166=2,I400+I401+I403+I404+I405+I406-0,0)</f>
        <v>0</v>
      </c>
      <c r="Z408">
        <f>IF(Source!BI166=3,I400+I401+I403+I404+I405+I406-0,0)</f>
        <v>0</v>
      </c>
      <c r="AA408">
        <f>IF(Source!BI166=4,I400+I401+I403+I404+I405+I406,0)</f>
        <v>0</v>
      </c>
    </row>
    <row r="410" spans="1:22" ht="42.75">
      <c r="A410" s="40" t="str">
        <f>Source!E167</f>
        <v>34</v>
      </c>
      <c r="B410" s="41" t="str">
        <f>Source!F167</f>
        <v>1.3-3-7</v>
      </c>
      <c r="C410" s="41" t="str">
        <f>Source!G167</f>
        <v>СМЕСИ АСФАЛЬТОБЕТОННЫЕ ДОРОЖНЫЕ ГОРЯЧИЕ МЕЛКОЗЕРНИСТЫЕ, МАРКА I, ТИП А</v>
      </c>
      <c r="D410" s="42" t="str">
        <f>Source!H167</f>
        <v>т</v>
      </c>
      <c r="E410" s="10">
        <f>Source!I167</f>
        <v>3.9</v>
      </c>
      <c r="F410" s="44">
        <f>Source!AL167</f>
        <v>307.59</v>
      </c>
      <c r="G410" s="43">
        <f>Source!DD167</f>
      </c>
      <c r="H410" s="10">
        <f>Source!AW167</f>
        <v>1</v>
      </c>
      <c r="I410" s="45">
        <f>ROUND((Source!AC167*Source!AW167)*Source!I167,2)</f>
        <v>1199.6</v>
      </c>
      <c r="J410" s="10">
        <f>IF(Source!BC167&lt;&gt;0,Source!BC167,1)</f>
        <v>8.53</v>
      </c>
      <c r="K410" s="45">
        <f>Source!P167</f>
        <v>10232.6</v>
      </c>
      <c r="Q410">
        <f>ROUND((Source!DN167/100)*ROUND((Source!AF167*Source!AV167)*Source!I167,2),2)</f>
        <v>0</v>
      </c>
      <c r="R410">
        <f>Source!X167</f>
        <v>0</v>
      </c>
      <c r="S410">
        <f>ROUND((Source!DO167/100)*ROUND((Source!AF167*Source!AV167)*Source!I167,2),2)</f>
        <v>0</v>
      </c>
      <c r="T410">
        <f>Source!Y167</f>
        <v>0</v>
      </c>
      <c r="U410">
        <f>ROUND((175/100)*ROUND((Source!AE167*Source!AV167)*Source!I167,2),2)</f>
        <v>0</v>
      </c>
      <c r="V410">
        <f>ROUND((167/100)*ROUND(Source!CS167*Source!I167,2),2)</f>
        <v>0</v>
      </c>
    </row>
    <row r="411" spans="1:27" ht="15">
      <c r="A411" s="51"/>
      <c r="B411" s="51"/>
      <c r="C411" s="52" t="s">
        <v>564</v>
      </c>
      <c r="D411" s="51"/>
      <c r="E411" s="51"/>
      <c r="F411" s="51"/>
      <c r="G411" s="51"/>
      <c r="H411" s="53">
        <f>I410</f>
        <v>1199.6</v>
      </c>
      <c r="I411" s="53"/>
      <c r="J411" s="53">
        <f>K410</f>
        <v>10232.6</v>
      </c>
      <c r="K411" s="53"/>
      <c r="O411" s="48">
        <f>H411</f>
        <v>1199.6</v>
      </c>
      <c r="P411" s="48">
        <f>J411</f>
        <v>10232.6</v>
      </c>
      <c r="X411">
        <f>IF(Source!BI167&lt;=1,I410-0,0)</f>
        <v>1199.6</v>
      </c>
      <c r="Y411">
        <f>IF(Source!BI167=2,I410-0,0)</f>
        <v>0</v>
      </c>
      <c r="Z411">
        <f>IF(Source!BI167=3,I410-0,0)</f>
        <v>0</v>
      </c>
      <c r="AA411">
        <f>IF(Source!BI167=4,I410,0)</f>
        <v>0</v>
      </c>
    </row>
    <row r="414" spans="1:32" ht="15">
      <c r="A414" s="56" t="str">
        <f>CONCATENATE("Итого по подразделу: ",IF(Source!G169&lt;&gt;"Новый подраздел",Source!G169,""))</f>
        <v>Итого по подразделу: Восстановление благоустройства</v>
      </c>
      <c r="B414" s="56"/>
      <c r="C414" s="56"/>
      <c r="D414" s="56"/>
      <c r="E414" s="56"/>
      <c r="F414" s="56"/>
      <c r="G414" s="56"/>
      <c r="H414" s="50">
        <f>SUM(O284:O413)</f>
        <v>9765.65</v>
      </c>
      <c r="I414" s="55"/>
      <c r="J414" s="50">
        <f>SUM(P284:P413)</f>
        <v>114479.52</v>
      </c>
      <c r="K414" s="55"/>
      <c r="AF414" s="57" t="str">
        <f>CONCATENATE("Итого по подразделу: ",IF(Source!G169&lt;&gt;"Новый подраздел",Source!G169,""))</f>
        <v>Итого по подразделу: Восстановление благоустройства</v>
      </c>
    </row>
    <row r="416" spans="1:31" ht="16.5">
      <c r="A416" s="38" t="str">
        <f>CONCATENATE("Подраздел: ",IF(Source!G195&lt;&gt;"Новый подраздел",Source!G195,""))</f>
        <v>Подраздел: Восстановление а/б и ц/б покрытия в дороге</v>
      </c>
      <c r="B416" s="38"/>
      <c r="C416" s="38"/>
      <c r="D416" s="38"/>
      <c r="E416" s="38"/>
      <c r="F416" s="38"/>
      <c r="G416" s="38"/>
      <c r="H416" s="38"/>
      <c r="I416" s="38"/>
      <c r="J416" s="38"/>
      <c r="K416" s="38"/>
      <c r="AE416" s="39" t="str">
        <f>CONCATENATE("Подраздел: ",IF(Source!G195&lt;&gt;"Новый подраздел",Source!G195,""))</f>
        <v>Подраздел: Восстановление а/б и ц/б покрытия в дороге</v>
      </c>
    </row>
    <row r="417" spans="1:22" ht="42.75">
      <c r="A417" s="40" t="str">
        <f>Source!E199</f>
        <v>35</v>
      </c>
      <c r="B417" s="41" t="str">
        <f>Source!F199</f>
        <v>3.27-12-1</v>
      </c>
      <c r="C417" s="41" t="str">
        <f>Source!G199</f>
        <v>УСТРОЙСТВО ПОДСТИЛАЮЩИХ И ВЫРАВНИВАЮЩИХ СЛОЕВ ОСНОВАНИЙ ИЗ ПЕСКА</v>
      </c>
      <c r="D417" s="42" t="str">
        <f>Source!H199</f>
        <v>100 м3</v>
      </c>
      <c r="E417" s="10">
        <f>Source!I199</f>
        <v>0.1584</v>
      </c>
      <c r="F417" s="44"/>
      <c r="G417" s="43"/>
      <c r="H417" s="10"/>
      <c r="I417" s="45"/>
      <c r="J417" s="10"/>
      <c r="K417" s="45"/>
      <c r="Q417">
        <f>ROUND((Source!DN199/100)*ROUND((Source!AF199*Source!AV199)*Source!I199,2),2)</f>
        <v>40.44</v>
      </c>
      <c r="R417">
        <f>Source!X199</f>
        <v>671.41</v>
      </c>
      <c r="S417">
        <f>ROUND((Source!DO199/100)*ROUND((Source!AF199*Source!AV199)*Source!I199,2),2)</f>
        <v>26.88</v>
      </c>
      <c r="T417">
        <f>Source!Y199</f>
        <v>276.77</v>
      </c>
      <c r="U417">
        <f>ROUND((175/100)*ROUND((Source!AE199*Source!AV199)*Source!I199,2),2)</f>
        <v>34.55</v>
      </c>
      <c r="V417">
        <f>ROUND((167/100)*ROUND(Source!CS199*Source!I199,2),2)</f>
        <v>672.63</v>
      </c>
    </row>
    <row r="418" ht="12.75">
      <c r="C418" s="46" t="str">
        <f>"Объем: "&amp;Source!I199&amp;"=15,84/"&amp;"100"</f>
        <v>Объем: 0,1584=15,84/100</v>
      </c>
    </row>
    <row r="419" spans="1:23" ht="14.25">
      <c r="A419" s="40"/>
      <c r="B419" s="41"/>
      <c r="C419" s="41" t="s">
        <v>554</v>
      </c>
      <c r="D419" s="42"/>
      <c r="E419" s="10"/>
      <c r="F419" s="44">
        <f>Source!AO199</f>
        <v>151.49</v>
      </c>
      <c r="G419" s="43">
        <f>Source!DG199</f>
      </c>
      <c r="H419" s="10">
        <f>Source!AV199</f>
        <v>1.047</v>
      </c>
      <c r="I419" s="45">
        <f>ROUND((Source!AF199*Source!AV199)*Source!I199,2)</f>
        <v>25.12</v>
      </c>
      <c r="J419" s="10">
        <f>IF(Source!BA199&lt;&gt;0,Source!BA199,1)</f>
        <v>20.4</v>
      </c>
      <c r="K419" s="45">
        <f>Source!S199</f>
        <v>512.53</v>
      </c>
      <c r="W419">
        <f>ROUND((Source!AF199*Source!AV199)*Source!I199,2)</f>
        <v>25.12</v>
      </c>
    </row>
    <row r="420" spans="1:11" ht="14.25">
      <c r="A420" s="40"/>
      <c r="B420" s="41"/>
      <c r="C420" s="41" t="s">
        <v>555</v>
      </c>
      <c r="D420" s="42"/>
      <c r="E420" s="10"/>
      <c r="F420" s="44">
        <f>Source!AM199</f>
        <v>676.47</v>
      </c>
      <c r="G420" s="43">
        <f>Source!DE199</f>
      </c>
      <c r="H420" s="10">
        <f>Source!AV199</f>
        <v>1.047</v>
      </c>
      <c r="I420" s="45">
        <f>ROUND(((((Source!ET199)-(Source!EU199))+Source!AE199)*Source!AV199)*Source!I199,2)</f>
        <v>112.19</v>
      </c>
      <c r="J420" s="10">
        <f>IF(Source!BB199&lt;&gt;0,Source!BB199,1)</f>
        <v>8.98</v>
      </c>
      <c r="K420" s="45">
        <f>Source!Q199</f>
        <v>1007.46</v>
      </c>
    </row>
    <row r="421" spans="1:23" ht="14.25">
      <c r="A421" s="40"/>
      <c r="B421" s="41"/>
      <c r="C421" s="41" t="s">
        <v>556</v>
      </c>
      <c r="D421" s="42"/>
      <c r="E421" s="10"/>
      <c r="F421" s="44">
        <f>Source!AN199</f>
        <v>119.05</v>
      </c>
      <c r="G421" s="43">
        <f>Source!DF199</f>
      </c>
      <c r="H421" s="10">
        <f>Source!AV199</f>
        <v>1.047</v>
      </c>
      <c r="I421" s="47">
        <f>ROUND((Source!AE199*Source!AV199)*Source!I199,2)</f>
        <v>19.74</v>
      </c>
      <c r="J421" s="10">
        <f>IF(Source!BS199&lt;&gt;0,Source!BS199,1)</f>
        <v>20.4</v>
      </c>
      <c r="K421" s="47">
        <f>Source!R199</f>
        <v>402.77</v>
      </c>
      <c r="W421">
        <f>ROUND((Source!AE199*Source!AV199)*Source!I199,2)</f>
        <v>19.74</v>
      </c>
    </row>
    <row r="422" spans="1:11" ht="14.25">
      <c r="A422" s="40"/>
      <c r="B422" s="41"/>
      <c r="C422" s="41" t="s">
        <v>557</v>
      </c>
      <c r="D422" s="42"/>
      <c r="E422" s="10"/>
      <c r="F422" s="44">
        <f>Source!AL199</f>
        <v>35.35</v>
      </c>
      <c r="G422" s="43">
        <f>Source!DD199</f>
      </c>
      <c r="H422" s="10">
        <f>Source!AW199</f>
        <v>1.002</v>
      </c>
      <c r="I422" s="45">
        <f>ROUND((Source!AC199*Source!AW199)*Source!I199,2)</f>
        <v>5.61</v>
      </c>
      <c r="J422" s="10">
        <f>IF(Source!BC199&lt;&gt;0,Source!BC199,1)</f>
        <v>4.24</v>
      </c>
      <c r="K422" s="45">
        <f>Source!P199</f>
        <v>23.79</v>
      </c>
    </row>
    <row r="423" spans="1:27" ht="28.5">
      <c r="A423" s="40" t="str">
        <f>Source!E200</f>
        <v>35,1</v>
      </c>
      <c r="B423" s="41" t="str">
        <f>Source!F200</f>
        <v>1.1-1-766</v>
      </c>
      <c r="C423" s="41" t="str">
        <f>Source!G200</f>
        <v>ПЕСОК ДЛЯ СТРОИТЕЛЬНЫХ РАБОТ, РЯДОВОЙ</v>
      </c>
      <c r="D423" s="42" t="str">
        <f>Source!H200</f>
        <v>м3</v>
      </c>
      <c r="E423" s="10">
        <f>Source!I200</f>
        <v>15.84</v>
      </c>
      <c r="F423" s="44">
        <f>Source!AK200</f>
        <v>104.99</v>
      </c>
      <c r="G423" s="54" t="s">
        <v>6</v>
      </c>
      <c r="H423" s="10">
        <f>Source!AW200</f>
        <v>1.002</v>
      </c>
      <c r="I423" s="45">
        <f>ROUND((Source!AC200*Source!AW200)*Source!I200,2)+ROUND(((((Source!ET200)-(Source!EU200))+Source!AE200)*Source!AV200)*Source!I200,2)+ROUND((Source!AF200*Source!AV200)*Source!I200,2)</f>
        <v>1666.37</v>
      </c>
      <c r="J423" s="10">
        <f>IF(Source!BC200&lt;&gt;0,Source!BC200,1)</f>
        <v>5.45</v>
      </c>
      <c r="K423" s="45">
        <f>Source!O200</f>
        <v>9081.7</v>
      </c>
      <c r="Q423">
        <f>ROUND((Source!DN200/100)*ROUND((Source!AF200*Source!AV200)*Source!I200,2),2)</f>
        <v>0</v>
      </c>
      <c r="R423">
        <f>Source!X200</f>
        <v>0</v>
      </c>
      <c r="S423">
        <f>ROUND((Source!DO200/100)*ROUND((Source!AF200*Source!AV200)*Source!I200,2),2)</f>
        <v>0</v>
      </c>
      <c r="T423">
        <f>Source!Y200</f>
        <v>0</v>
      </c>
      <c r="U423">
        <f>ROUND((175/100)*ROUND((Source!AE200*Source!AV200)*Source!I200,2),2)</f>
        <v>0</v>
      </c>
      <c r="V423">
        <f>ROUND((167/100)*ROUND(Source!CS200*Source!I200,2),2)</f>
        <v>0</v>
      </c>
      <c r="X423">
        <f>IF(Source!BI200&lt;=1,I423,0)</f>
        <v>1666.37</v>
      </c>
      <c r="Y423">
        <f>IF(Source!BI200=2,I423,0)</f>
        <v>0</v>
      </c>
      <c r="Z423">
        <f>IF(Source!BI200=3,I423,0)</f>
        <v>0</v>
      </c>
      <c r="AA423">
        <f>IF(Source!BI200=4,I423,0)</f>
        <v>0</v>
      </c>
    </row>
    <row r="424" spans="1:11" ht="14.25">
      <c r="A424" s="40"/>
      <c r="B424" s="41"/>
      <c r="C424" s="41" t="s">
        <v>558</v>
      </c>
      <c r="D424" s="42" t="s">
        <v>559</v>
      </c>
      <c r="E424" s="10">
        <f>Source!DN199</f>
        <v>161</v>
      </c>
      <c r="F424" s="44"/>
      <c r="G424" s="43"/>
      <c r="H424" s="10"/>
      <c r="I424" s="45">
        <f>SUM(Q417:Q423)</f>
        <v>40.44</v>
      </c>
      <c r="J424" s="10">
        <f>Source!BZ199</f>
        <v>131</v>
      </c>
      <c r="K424" s="45">
        <f>SUM(R417:R423)</f>
        <v>671.41</v>
      </c>
    </row>
    <row r="425" spans="1:11" ht="14.25">
      <c r="A425" s="40"/>
      <c r="B425" s="41"/>
      <c r="C425" s="41" t="s">
        <v>560</v>
      </c>
      <c r="D425" s="42" t="s">
        <v>559</v>
      </c>
      <c r="E425" s="10">
        <f>Source!DO199</f>
        <v>107</v>
      </c>
      <c r="F425" s="44"/>
      <c r="G425" s="43"/>
      <c r="H425" s="10"/>
      <c r="I425" s="45">
        <f>SUM(S417:S424)</f>
        <v>26.88</v>
      </c>
      <c r="J425" s="10">
        <f>Source!CA199</f>
        <v>54</v>
      </c>
      <c r="K425" s="45">
        <f>SUM(T417:T424)</f>
        <v>276.77</v>
      </c>
    </row>
    <row r="426" spans="1:11" ht="14.25">
      <c r="A426" s="40"/>
      <c r="B426" s="41"/>
      <c r="C426" s="41" t="s">
        <v>561</v>
      </c>
      <c r="D426" s="42" t="s">
        <v>559</v>
      </c>
      <c r="E426" s="10">
        <f>175</f>
        <v>175</v>
      </c>
      <c r="F426" s="44"/>
      <c r="G426" s="43"/>
      <c r="H426" s="10"/>
      <c r="I426" s="45">
        <f>SUM(U417:U425)</f>
        <v>34.55</v>
      </c>
      <c r="J426" s="10">
        <f>167</f>
        <v>167</v>
      </c>
      <c r="K426" s="45">
        <f>SUM(V417:V425)</f>
        <v>672.63</v>
      </c>
    </row>
    <row r="427" spans="1:28" ht="14.25">
      <c r="A427" s="40"/>
      <c r="B427" s="41"/>
      <c r="C427" s="41" t="s">
        <v>562</v>
      </c>
      <c r="D427" s="42" t="s">
        <v>563</v>
      </c>
      <c r="E427" s="10">
        <f>Source!AQ199</f>
        <v>14.4</v>
      </c>
      <c r="F427" s="44"/>
      <c r="G427" s="43">
        <f>Source!DI199</f>
      </c>
      <c r="H427" s="10">
        <f>Source!AV199</f>
        <v>1.047</v>
      </c>
      <c r="I427" s="45">
        <f>Source!U199</f>
        <v>2.38816512</v>
      </c>
      <c r="J427" s="10"/>
      <c r="K427" s="45"/>
      <c r="AB427" s="48">
        <f>I427</f>
        <v>2.38816512</v>
      </c>
    </row>
    <row r="428" spans="1:27" ht="15">
      <c r="A428" s="51"/>
      <c r="B428" s="51"/>
      <c r="C428" s="52" t="s">
        <v>564</v>
      </c>
      <c r="D428" s="51"/>
      <c r="E428" s="51"/>
      <c r="F428" s="51"/>
      <c r="G428" s="51"/>
      <c r="H428" s="53">
        <f>I419+I420+I422+I424+I425+I426+SUM(I423:I423)</f>
        <v>1911.1599999999999</v>
      </c>
      <c r="I428" s="53"/>
      <c r="J428" s="53">
        <f>K419+K420+K422+K424+K425+K426+SUM(K423:K423)</f>
        <v>12246.29</v>
      </c>
      <c r="K428" s="53"/>
      <c r="O428" s="48">
        <f>H428</f>
        <v>1911.1599999999999</v>
      </c>
      <c r="P428" s="48">
        <f>J428</f>
        <v>12246.29</v>
      </c>
      <c r="X428">
        <f>IF(Source!BI199&lt;=1,I419+I420+I422+I424+I425+I426-0,0)</f>
        <v>244.79000000000002</v>
      </c>
      <c r="Y428">
        <f>IF(Source!BI199=2,I419+I420+I422+I424+I425+I426-0,0)</f>
        <v>0</v>
      </c>
      <c r="Z428">
        <f>IF(Source!BI199=3,I419+I420+I422+I424+I425+I426-0,0)</f>
        <v>0</v>
      </c>
      <c r="AA428">
        <f>IF(Source!BI199=4,I419+I420+I422+I424+I425+I426,0)</f>
        <v>0</v>
      </c>
    </row>
    <row r="430" spans="1:22" ht="42.75">
      <c r="A430" s="40" t="str">
        <f>Source!E201</f>
        <v>36</v>
      </c>
      <c r="B430" s="41" t="str">
        <f>Source!F201</f>
        <v>3.27-30-1</v>
      </c>
      <c r="C430" s="41" t="str">
        <f>Source!G201</f>
        <v>УСТРОЙСТВО ЦЕМЕНТОБЕТОННЫХ ОСНОВАНИЙ ГОРОДСКИХ ПРОЕЗДОВ ТОЛЩИНА СЛОЯ, СМ 16</v>
      </c>
      <c r="D430" s="42" t="str">
        <f>Source!H201</f>
        <v>1000 м2</v>
      </c>
      <c r="E430" s="10">
        <f>Source!I201</f>
        <v>0.02665</v>
      </c>
      <c r="F430" s="44"/>
      <c r="G430" s="43"/>
      <c r="H430" s="10"/>
      <c r="I430" s="45"/>
      <c r="J430" s="10"/>
      <c r="K430" s="45"/>
      <c r="Q430">
        <f>ROUND((Source!DN201/100)*ROUND((Source!AF201*Source!AV201)*Source!I201,2),2)</f>
        <v>137.57</v>
      </c>
      <c r="R430">
        <f>Source!X201</f>
        <v>2283.61</v>
      </c>
      <c r="S430">
        <f>ROUND((Source!DO201/100)*ROUND((Source!AF201*Source!AV201)*Source!I201,2),2)</f>
        <v>91.43</v>
      </c>
      <c r="T430">
        <f>Source!Y201</f>
        <v>941.33</v>
      </c>
      <c r="U430">
        <f>ROUND((175/100)*ROUND((Source!AE201*Source!AV201)*Source!I201,2),2)</f>
        <v>17.47</v>
      </c>
      <c r="V430">
        <f>ROUND((167/100)*ROUND(Source!CS201*Source!I201,2),2)</f>
        <v>339.93</v>
      </c>
    </row>
    <row r="431" ht="12.75">
      <c r="C431" s="46" t="str">
        <f>"Объем: "&amp;Source!I201&amp;"=26,65/"&amp;"1000"</f>
        <v>Объем: 0,02665=26,65/1000</v>
      </c>
    </row>
    <row r="432" spans="1:23" ht="14.25">
      <c r="A432" s="40"/>
      <c r="B432" s="41"/>
      <c r="C432" s="41" t="s">
        <v>554</v>
      </c>
      <c r="D432" s="42"/>
      <c r="E432" s="10"/>
      <c r="F432" s="44">
        <f>Source!AO201</f>
        <v>3062.49</v>
      </c>
      <c r="G432" s="43">
        <f>Source!DG201</f>
      </c>
      <c r="H432" s="10">
        <f>Source!AV201</f>
        <v>1.047</v>
      </c>
      <c r="I432" s="45">
        <f>ROUND((Source!AF201*Source!AV201)*Source!I201,2)</f>
        <v>85.45</v>
      </c>
      <c r="J432" s="10">
        <f>IF(Source!BA201&lt;&gt;0,Source!BA201,1)</f>
        <v>20.4</v>
      </c>
      <c r="K432" s="45">
        <f>Source!S201</f>
        <v>1743.21</v>
      </c>
      <c r="W432">
        <f>ROUND((Source!AF201*Source!AV201)*Source!I201,2)</f>
        <v>85.45</v>
      </c>
    </row>
    <row r="433" spans="1:11" ht="14.25">
      <c r="A433" s="40"/>
      <c r="B433" s="41"/>
      <c r="C433" s="41" t="s">
        <v>555</v>
      </c>
      <c r="D433" s="42"/>
      <c r="E433" s="10"/>
      <c r="F433" s="44">
        <f>Source!AM201</f>
        <v>1934.25</v>
      </c>
      <c r="G433" s="43">
        <f>Source!DE201</f>
      </c>
      <c r="H433" s="10">
        <f>Source!AV201</f>
        <v>1.047</v>
      </c>
      <c r="I433" s="45">
        <f>ROUND(((((Source!ET201)-(Source!EU201))+Source!AE201)*Source!AV201)*Source!I201,2)</f>
        <v>53.97</v>
      </c>
      <c r="J433" s="10">
        <f>IF(Source!BB201&lt;&gt;0,Source!BB201,1)</f>
        <v>11.05</v>
      </c>
      <c r="K433" s="45">
        <f>Source!Q201</f>
        <v>596.37</v>
      </c>
    </row>
    <row r="434" spans="1:23" ht="14.25">
      <c r="A434" s="40"/>
      <c r="B434" s="41"/>
      <c r="C434" s="41" t="s">
        <v>556</v>
      </c>
      <c r="D434" s="42"/>
      <c r="E434" s="10"/>
      <c r="F434" s="44">
        <f>Source!AN201</f>
        <v>357.6</v>
      </c>
      <c r="G434" s="43">
        <f>Source!DF201</f>
      </c>
      <c r="H434" s="10">
        <f>Source!AV201</f>
        <v>1.047</v>
      </c>
      <c r="I434" s="47">
        <f>ROUND((Source!AE201*Source!AV201)*Source!I201,2)</f>
        <v>9.98</v>
      </c>
      <c r="J434" s="10">
        <f>IF(Source!BS201&lt;&gt;0,Source!BS201,1)</f>
        <v>20.4</v>
      </c>
      <c r="K434" s="47">
        <f>Source!R201</f>
        <v>203.55</v>
      </c>
      <c r="W434">
        <f>ROUND((Source!AE201*Source!AV201)*Source!I201,2)</f>
        <v>9.98</v>
      </c>
    </row>
    <row r="435" spans="1:11" ht="14.25">
      <c r="A435" s="40"/>
      <c r="B435" s="41"/>
      <c r="C435" s="41" t="s">
        <v>557</v>
      </c>
      <c r="D435" s="42"/>
      <c r="E435" s="10"/>
      <c r="F435" s="44">
        <f>Source!AL201</f>
        <v>6731.62</v>
      </c>
      <c r="G435" s="43">
        <f>Source!DD201</f>
      </c>
      <c r="H435" s="10">
        <f>Source!AW201</f>
        <v>1.002</v>
      </c>
      <c r="I435" s="45">
        <f>ROUND((Source!AC201*Source!AW201)*Source!I201,2)</f>
        <v>179.76</v>
      </c>
      <c r="J435" s="10">
        <f>IF(Source!BC201&lt;&gt;0,Source!BC201,1)</f>
        <v>5.07</v>
      </c>
      <c r="K435" s="45">
        <f>Source!P201</f>
        <v>911.37</v>
      </c>
    </row>
    <row r="436" spans="1:11" ht="14.25">
      <c r="A436" s="40"/>
      <c r="B436" s="41"/>
      <c r="C436" s="41" t="s">
        <v>558</v>
      </c>
      <c r="D436" s="42" t="s">
        <v>559</v>
      </c>
      <c r="E436" s="10">
        <f>Source!DN201</f>
        <v>161</v>
      </c>
      <c r="F436" s="44"/>
      <c r="G436" s="43"/>
      <c r="H436" s="10"/>
      <c r="I436" s="45">
        <f>SUM(Q430:Q435)</f>
        <v>137.57</v>
      </c>
      <c r="J436" s="10">
        <f>Source!BZ201</f>
        <v>131</v>
      </c>
      <c r="K436" s="45">
        <f>SUM(R430:R435)</f>
        <v>2283.61</v>
      </c>
    </row>
    <row r="437" spans="1:11" ht="14.25">
      <c r="A437" s="40"/>
      <c r="B437" s="41"/>
      <c r="C437" s="41" t="s">
        <v>560</v>
      </c>
      <c r="D437" s="42" t="s">
        <v>559</v>
      </c>
      <c r="E437" s="10">
        <f>Source!DO201</f>
        <v>107</v>
      </c>
      <c r="F437" s="44"/>
      <c r="G437" s="43"/>
      <c r="H437" s="10"/>
      <c r="I437" s="45">
        <f>SUM(S430:S436)</f>
        <v>91.43</v>
      </c>
      <c r="J437" s="10">
        <f>Source!CA201</f>
        <v>54</v>
      </c>
      <c r="K437" s="45">
        <f>SUM(T430:T436)</f>
        <v>941.33</v>
      </c>
    </row>
    <row r="438" spans="1:11" ht="14.25">
      <c r="A438" s="40"/>
      <c r="B438" s="41"/>
      <c r="C438" s="41" t="s">
        <v>561</v>
      </c>
      <c r="D438" s="42" t="s">
        <v>559</v>
      </c>
      <c r="E438" s="10">
        <f>175</f>
        <v>175</v>
      </c>
      <c r="F438" s="44"/>
      <c r="G438" s="43"/>
      <c r="H438" s="10"/>
      <c r="I438" s="45">
        <f>SUM(U430:U437)</f>
        <v>17.47</v>
      </c>
      <c r="J438" s="10">
        <f>167</f>
        <v>167</v>
      </c>
      <c r="K438" s="45">
        <f>SUM(V430:V437)</f>
        <v>339.93</v>
      </c>
    </row>
    <row r="439" spans="1:28" ht="14.25">
      <c r="A439" s="40"/>
      <c r="B439" s="41"/>
      <c r="C439" s="41" t="s">
        <v>562</v>
      </c>
      <c r="D439" s="42" t="s">
        <v>563</v>
      </c>
      <c r="E439" s="10">
        <f>Source!AQ201</f>
        <v>267</v>
      </c>
      <c r="F439" s="44"/>
      <c r="G439" s="43">
        <f>Source!DI201</f>
      </c>
      <c r="H439" s="10">
        <f>Source!AV201</f>
        <v>1.047</v>
      </c>
      <c r="I439" s="45">
        <f>Source!U201</f>
        <v>7.449980849999999</v>
      </c>
      <c r="J439" s="10"/>
      <c r="K439" s="45"/>
      <c r="AB439" s="48">
        <f>I439</f>
        <v>7.449980849999999</v>
      </c>
    </row>
    <row r="440" spans="1:27" ht="15">
      <c r="A440" s="51"/>
      <c r="B440" s="51"/>
      <c r="C440" s="52" t="s">
        <v>564</v>
      </c>
      <c r="D440" s="51"/>
      <c r="E440" s="51"/>
      <c r="F440" s="51"/>
      <c r="G440" s="51"/>
      <c r="H440" s="53">
        <f>I432+I433+I435+I436+I437+I438</f>
        <v>565.6500000000001</v>
      </c>
      <c r="I440" s="53"/>
      <c r="J440" s="53">
        <f>K432+K433+K435+K436+K437+K438</f>
        <v>6815.82</v>
      </c>
      <c r="K440" s="53"/>
      <c r="O440" s="48">
        <f>H440</f>
        <v>565.6500000000001</v>
      </c>
      <c r="P440" s="48">
        <f>J440</f>
        <v>6815.82</v>
      </c>
      <c r="X440">
        <f>IF(Source!BI201&lt;=1,I432+I433+I435+I436+I437+I438-0,0)</f>
        <v>565.6500000000001</v>
      </c>
      <c r="Y440">
        <f>IF(Source!BI201=2,I432+I433+I435+I436+I437+I438-0,0)</f>
        <v>0</v>
      </c>
      <c r="Z440">
        <f>IF(Source!BI201=3,I432+I433+I435+I436+I437+I438-0,0)</f>
        <v>0</v>
      </c>
      <c r="AA440">
        <f>IF(Source!BI201=4,I432+I433+I435+I436+I437+I438,0)</f>
        <v>0</v>
      </c>
    </row>
    <row r="442" spans="1:22" ht="57">
      <c r="A442" s="40" t="str">
        <f>Source!E202</f>
        <v>37</v>
      </c>
      <c r="B442" s="41" t="str">
        <f>Source!F202</f>
        <v>3.27-42-1</v>
      </c>
      <c r="C442" s="41" t="str">
        <f>Source!G202</f>
        <v>УСТРОЙСТВО ПОКРЫТИЙ ИЗ ГОРЯЧИХ АСФАЛЬТОБЕТОННЫХ СМЕСЕЙ ТОЛЩИНОЙ 4 СМ КОМПЛЕКТОМ МАШИН (12 см)</v>
      </c>
      <c r="D442" s="42" t="str">
        <f>Source!H202</f>
        <v>100 м2</v>
      </c>
      <c r="E442" s="10">
        <f>Source!I202</f>
        <v>0.6114</v>
      </c>
      <c r="F442" s="44"/>
      <c r="G442" s="43"/>
      <c r="H442" s="10"/>
      <c r="I442" s="45"/>
      <c r="J442" s="10"/>
      <c r="K442" s="45"/>
      <c r="Q442">
        <f>ROUND((Source!DN202/100)*ROUND((Source!AF202*Source!AV202)*Source!I202,2),2)</f>
        <v>53.77</v>
      </c>
      <c r="R442">
        <f>Source!X202</f>
        <v>892.48</v>
      </c>
      <c r="S442">
        <f>ROUND((Source!DO202/100)*ROUND((Source!AF202*Source!AV202)*Source!I202,2),2)</f>
        <v>35.74</v>
      </c>
      <c r="T442">
        <f>Source!Y202</f>
        <v>367.89</v>
      </c>
      <c r="U442">
        <f>ROUND((175/100)*ROUND((Source!AE202*Source!AV202)*Source!I202,2),2)</f>
        <v>85.38</v>
      </c>
      <c r="V442">
        <f>ROUND((167/100)*ROUND(Source!CS202*Source!I202,2),2)</f>
        <v>1662.22</v>
      </c>
    </row>
    <row r="443" ht="12.75">
      <c r="C443" s="46" t="str">
        <f>"Объем: "&amp;Source!I202&amp;"=61,14/"&amp;"100"</f>
        <v>Объем: 0,6114=61,14/100</v>
      </c>
    </row>
    <row r="444" spans="1:23" ht="14.25">
      <c r="A444" s="40"/>
      <c r="B444" s="41"/>
      <c r="C444" s="41" t="s">
        <v>554</v>
      </c>
      <c r="D444" s="42"/>
      <c r="E444" s="10"/>
      <c r="F444" s="44">
        <f>Source!AO202</f>
        <v>52.17</v>
      </c>
      <c r="G444" s="43">
        <f>Source!DG202</f>
      </c>
      <c r="H444" s="10">
        <f>Source!AV202</f>
        <v>1.047</v>
      </c>
      <c r="I444" s="45">
        <f>ROUND((Source!AF202*Source!AV202)*Source!I202,2)</f>
        <v>33.4</v>
      </c>
      <c r="J444" s="10">
        <f>IF(Source!BA202&lt;&gt;0,Source!BA202,1)</f>
        <v>20.4</v>
      </c>
      <c r="K444" s="45">
        <f>Source!S202</f>
        <v>681.28</v>
      </c>
      <c r="W444">
        <f>ROUND((Source!AF202*Source!AV202)*Source!I202,2)</f>
        <v>33.4</v>
      </c>
    </row>
    <row r="445" spans="1:11" ht="14.25">
      <c r="A445" s="40"/>
      <c r="B445" s="41"/>
      <c r="C445" s="41" t="s">
        <v>555</v>
      </c>
      <c r="D445" s="42"/>
      <c r="E445" s="10"/>
      <c r="F445" s="44">
        <f>Source!AM202</f>
        <v>419.23</v>
      </c>
      <c r="G445" s="43">
        <f>Source!DE202</f>
      </c>
      <c r="H445" s="10">
        <f>Source!AV202</f>
        <v>1.047</v>
      </c>
      <c r="I445" s="45">
        <f>ROUND(((((Source!ET202)-(Source!EU202))+Source!AE202)*Source!AV202)*Source!I202,2)</f>
        <v>268.36</v>
      </c>
      <c r="J445" s="10">
        <f>IF(Source!BB202&lt;&gt;0,Source!BB202,1)</f>
        <v>9.54</v>
      </c>
      <c r="K445" s="45">
        <f>Source!Q202</f>
        <v>2560.19</v>
      </c>
    </row>
    <row r="446" spans="1:23" ht="14.25">
      <c r="A446" s="40"/>
      <c r="B446" s="41"/>
      <c r="C446" s="41" t="s">
        <v>556</v>
      </c>
      <c r="D446" s="42"/>
      <c r="E446" s="10"/>
      <c r="F446" s="44">
        <f>Source!AN202</f>
        <v>76.22</v>
      </c>
      <c r="G446" s="43">
        <f>Source!DF202</f>
      </c>
      <c r="H446" s="10">
        <f>Source!AV202</f>
        <v>1.047</v>
      </c>
      <c r="I446" s="47">
        <f>ROUND((Source!AE202*Source!AV202)*Source!I202,2)</f>
        <v>48.79</v>
      </c>
      <c r="J446" s="10">
        <f>IF(Source!BS202&lt;&gt;0,Source!BS202,1)</f>
        <v>20.4</v>
      </c>
      <c r="K446" s="47">
        <f>Source!R202</f>
        <v>995.34</v>
      </c>
      <c r="W446">
        <f>ROUND((Source!AE202*Source!AV202)*Source!I202,2)</f>
        <v>48.79</v>
      </c>
    </row>
    <row r="447" spans="1:11" ht="14.25">
      <c r="A447" s="40"/>
      <c r="B447" s="41"/>
      <c r="C447" s="41" t="s">
        <v>557</v>
      </c>
      <c r="D447" s="42"/>
      <c r="E447" s="10"/>
      <c r="F447" s="44">
        <f>Source!AL202</f>
        <v>57.83</v>
      </c>
      <c r="G447" s="43">
        <f>Source!DD202</f>
      </c>
      <c r="H447" s="10">
        <f>Source!AW202</f>
        <v>1</v>
      </c>
      <c r="I447" s="45">
        <f>ROUND((Source!AC202*Source!AW202)*Source!I202,2)</f>
        <v>35.36</v>
      </c>
      <c r="J447" s="10">
        <f>IF(Source!BC202&lt;&gt;0,Source!BC202,1)</f>
        <v>8.96</v>
      </c>
      <c r="K447" s="45">
        <f>Source!P202</f>
        <v>316.8</v>
      </c>
    </row>
    <row r="448" spans="1:11" ht="14.25">
      <c r="A448" s="40"/>
      <c r="B448" s="41"/>
      <c r="C448" s="41" t="s">
        <v>558</v>
      </c>
      <c r="D448" s="42" t="s">
        <v>559</v>
      </c>
      <c r="E448" s="10">
        <f>Source!DN202</f>
        <v>161</v>
      </c>
      <c r="F448" s="44"/>
      <c r="G448" s="43"/>
      <c r="H448" s="10"/>
      <c r="I448" s="45">
        <f>SUM(Q442:Q447)</f>
        <v>53.77</v>
      </c>
      <c r="J448" s="10">
        <f>Source!BZ202</f>
        <v>131</v>
      </c>
      <c r="K448" s="45">
        <f>SUM(R442:R447)</f>
        <v>892.48</v>
      </c>
    </row>
    <row r="449" spans="1:11" ht="14.25">
      <c r="A449" s="40"/>
      <c r="B449" s="41"/>
      <c r="C449" s="41" t="s">
        <v>560</v>
      </c>
      <c r="D449" s="42" t="s">
        <v>559</v>
      </c>
      <c r="E449" s="10">
        <f>Source!DO202</f>
        <v>107</v>
      </c>
      <c r="F449" s="44"/>
      <c r="G449" s="43"/>
      <c r="H449" s="10"/>
      <c r="I449" s="45">
        <f>SUM(S442:S448)</f>
        <v>35.74</v>
      </c>
      <c r="J449" s="10">
        <f>Source!CA202</f>
        <v>54</v>
      </c>
      <c r="K449" s="45">
        <f>SUM(T442:T448)</f>
        <v>367.89</v>
      </c>
    </row>
    <row r="450" spans="1:11" ht="14.25">
      <c r="A450" s="40"/>
      <c r="B450" s="41"/>
      <c r="C450" s="41" t="s">
        <v>561</v>
      </c>
      <c r="D450" s="42" t="s">
        <v>559</v>
      </c>
      <c r="E450" s="10">
        <f>175</f>
        <v>175</v>
      </c>
      <c r="F450" s="44"/>
      <c r="G450" s="43"/>
      <c r="H450" s="10"/>
      <c r="I450" s="45">
        <f>SUM(U442:U449)</f>
        <v>85.38</v>
      </c>
      <c r="J450" s="10">
        <f>167</f>
        <v>167</v>
      </c>
      <c r="K450" s="45">
        <f>SUM(V442:V449)</f>
        <v>1662.22</v>
      </c>
    </row>
    <row r="451" spans="1:28" ht="14.25">
      <c r="A451" s="40"/>
      <c r="B451" s="41"/>
      <c r="C451" s="41" t="s">
        <v>562</v>
      </c>
      <c r="D451" s="42" t="s">
        <v>563</v>
      </c>
      <c r="E451" s="10">
        <f>Source!AQ202</f>
        <v>4.29</v>
      </c>
      <c r="F451" s="44"/>
      <c r="G451" s="43">
        <f>Source!DI202</f>
      </c>
      <c r="H451" s="10">
        <f>Source!AV202</f>
        <v>1.047</v>
      </c>
      <c r="I451" s="45">
        <f>Source!U202</f>
        <v>2.7461825820000003</v>
      </c>
      <c r="J451" s="10"/>
      <c r="K451" s="45"/>
      <c r="AB451" s="48">
        <f>I451</f>
        <v>2.7461825820000003</v>
      </c>
    </row>
    <row r="452" spans="1:27" ht="15">
      <c r="A452" s="51"/>
      <c r="B452" s="51"/>
      <c r="C452" s="52" t="s">
        <v>564</v>
      </c>
      <c r="D452" s="51"/>
      <c r="E452" s="51"/>
      <c r="F452" s="51"/>
      <c r="G452" s="51"/>
      <c r="H452" s="53">
        <f>I444+I445+I447+I448+I449+I450</f>
        <v>512.01</v>
      </c>
      <c r="I452" s="53"/>
      <c r="J452" s="53">
        <f>K444+K445+K447+K448+K449+K450</f>
        <v>6480.860000000001</v>
      </c>
      <c r="K452" s="53"/>
      <c r="O452" s="48">
        <f>H452</f>
        <v>512.01</v>
      </c>
      <c r="P452" s="48">
        <f>J452</f>
        <v>6480.860000000001</v>
      </c>
      <c r="X452">
        <f>IF(Source!BI202&lt;=1,I444+I445+I447+I448+I449+I450-0,0)</f>
        <v>512.01</v>
      </c>
      <c r="Y452">
        <f>IF(Source!BI202=2,I444+I445+I447+I448+I449+I450-0,0)</f>
        <v>0</v>
      </c>
      <c r="Z452">
        <f>IF(Source!BI202=3,I444+I445+I447+I448+I449+I450-0,0)</f>
        <v>0</v>
      </c>
      <c r="AA452">
        <f>IF(Source!BI202=4,I444+I445+I447+I448+I449+I450,0)</f>
        <v>0</v>
      </c>
    </row>
    <row r="454" spans="1:22" ht="42.75">
      <c r="A454" s="40" t="str">
        <f>Source!E203</f>
        <v>38</v>
      </c>
      <c r="B454" s="41" t="str">
        <f>Source!F203</f>
        <v>3.27-43-1</v>
      </c>
      <c r="C454" s="41" t="str">
        <f>Source!G203</f>
        <v>ДОБАВЛЯЕТСЯ НА КАЖДЫЙ 1 СМ ИЗМЕНЕНИЯ ТОЛЩИНЫ СЛОЯ СВЕРХ 4 СМ К ПОЗ. 27-42-1</v>
      </c>
      <c r="D454" s="42" t="str">
        <f>Source!H203</f>
        <v>100 м2</v>
      </c>
      <c r="E454" s="10">
        <f>Source!I203</f>
        <v>0.2038</v>
      </c>
      <c r="F454" s="44"/>
      <c r="G454" s="43"/>
      <c r="H454" s="10"/>
      <c r="I454" s="45"/>
      <c r="J454" s="10"/>
      <c r="K454" s="45"/>
      <c r="Q454">
        <f>ROUND((Source!DN203/100)*ROUND((Source!AF203*Source!AV203)*Source!I203,2),2)</f>
        <v>2.38</v>
      </c>
      <c r="R454">
        <f>Source!X203</f>
        <v>39.52</v>
      </c>
      <c r="S454">
        <f>ROUND((Source!DO203/100)*ROUND((Source!AF203*Source!AV203)*Source!I203,2),2)</f>
        <v>1.58</v>
      </c>
      <c r="T454">
        <f>Source!Y203</f>
        <v>16.29</v>
      </c>
      <c r="U454">
        <f>ROUND((175/100)*ROUND((Source!AE203*Source!AV203)*Source!I203,2),2)</f>
        <v>1.33</v>
      </c>
      <c r="V454">
        <f>ROUND((167/100)*ROUND(Source!CS203*Source!I203,2),2)</f>
        <v>25.95</v>
      </c>
    </row>
    <row r="455" ht="12.75">
      <c r="C455" s="46" t="str">
        <f>"Объем: "&amp;Source!I203&amp;"=20,38/"&amp;"100"</f>
        <v>Объем: 0,2038=20,38/100</v>
      </c>
    </row>
    <row r="456" spans="1:23" ht="14.25">
      <c r="A456" s="40"/>
      <c r="B456" s="41"/>
      <c r="C456" s="41" t="s">
        <v>554</v>
      </c>
      <c r="D456" s="42"/>
      <c r="E456" s="10"/>
      <c r="F456" s="44">
        <f>Source!AO203</f>
        <v>6.93</v>
      </c>
      <c r="G456" s="43">
        <f>Source!DG203</f>
      </c>
      <c r="H456" s="10">
        <f>Source!AV203</f>
        <v>1.047</v>
      </c>
      <c r="I456" s="45">
        <f>ROUND((Source!AF203*Source!AV203)*Source!I203,2)</f>
        <v>1.48</v>
      </c>
      <c r="J456" s="10">
        <f>IF(Source!BA203&lt;&gt;0,Source!BA203,1)</f>
        <v>20.4</v>
      </c>
      <c r="K456" s="45">
        <f>Source!S203</f>
        <v>30.17</v>
      </c>
      <c r="W456">
        <f>ROUND((Source!AF203*Source!AV203)*Source!I203,2)</f>
        <v>1.48</v>
      </c>
    </row>
    <row r="457" spans="1:11" ht="14.25">
      <c r="A457" s="40"/>
      <c r="B457" s="41"/>
      <c r="C457" s="41" t="s">
        <v>555</v>
      </c>
      <c r="D457" s="42"/>
      <c r="E457" s="10"/>
      <c r="F457" s="44">
        <f>Source!AM203</f>
        <v>17.35</v>
      </c>
      <c r="G457" s="43">
        <f>Source!DE203</f>
      </c>
      <c r="H457" s="10">
        <f>Source!AV203</f>
        <v>1.047</v>
      </c>
      <c r="I457" s="45">
        <f>ROUND(((((Source!ET203)-(Source!EU203))+Source!AE203)*Source!AV203)*Source!I203,2)</f>
        <v>3.7</v>
      </c>
      <c r="J457" s="10">
        <f>IF(Source!BB203&lt;&gt;0,Source!BB203,1)</f>
        <v>8.55</v>
      </c>
      <c r="K457" s="45">
        <f>Source!Q203</f>
        <v>31.65</v>
      </c>
    </row>
    <row r="458" spans="1:23" ht="14.25">
      <c r="A458" s="40"/>
      <c r="B458" s="41"/>
      <c r="C458" s="41" t="s">
        <v>556</v>
      </c>
      <c r="D458" s="42"/>
      <c r="E458" s="10"/>
      <c r="F458" s="44">
        <f>Source!AN203</f>
        <v>3.57</v>
      </c>
      <c r="G458" s="43">
        <f>Source!DF203</f>
      </c>
      <c r="H458" s="10">
        <f>Source!AV203</f>
        <v>1.047</v>
      </c>
      <c r="I458" s="47">
        <f>ROUND((Source!AE203*Source!AV203)*Source!I203,2)</f>
        <v>0.76</v>
      </c>
      <c r="J458" s="10">
        <f>IF(Source!BS203&lt;&gt;0,Source!BS203,1)</f>
        <v>20.4</v>
      </c>
      <c r="K458" s="47">
        <f>Source!R203</f>
        <v>15.54</v>
      </c>
      <c r="W458">
        <f>ROUND((Source!AE203*Source!AV203)*Source!I203,2)</f>
        <v>0.76</v>
      </c>
    </row>
    <row r="459" spans="1:11" ht="14.25">
      <c r="A459" s="40"/>
      <c r="B459" s="41"/>
      <c r="C459" s="41" t="s">
        <v>557</v>
      </c>
      <c r="D459" s="42"/>
      <c r="E459" s="10"/>
      <c r="F459" s="44">
        <f>Source!AL203</f>
        <v>0</v>
      </c>
      <c r="G459" s="43">
        <f>Source!DD203</f>
      </c>
      <c r="H459" s="10">
        <f>Source!AW203</f>
        <v>1</v>
      </c>
      <c r="I459" s="45">
        <f>ROUND((Source!AC203*Source!AW203)*Source!I203,2)</f>
        <v>0</v>
      </c>
      <c r="J459" s="10">
        <f>IF(Source!BC203&lt;&gt;0,Source!BC203,1)</f>
        <v>1</v>
      </c>
      <c r="K459" s="45">
        <f>Source!P203</f>
        <v>0</v>
      </c>
    </row>
    <row r="460" spans="1:11" ht="14.25">
      <c r="A460" s="40"/>
      <c r="B460" s="41"/>
      <c r="C460" s="41" t="s">
        <v>558</v>
      </c>
      <c r="D460" s="42" t="s">
        <v>559</v>
      </c>
      <c r="E460" s="10">
        <f>Source!DN203</f>
        <v>161</v>
      </c>
      <c r="F460" s="44"/>
      <c r="G460" s="43"/>
      <c r="H460" s="10"/>
      <c r="I460" s="45">
        <f>SUM(Q454:Q459)</f>
        <v>2.38</v>
      </c>
      <c r="J460" s="10">
        <f>Source!BZ203</f>
        <v>131</v>
      </c>
      <c r="K460" s="45">
        <f>SUM(R454:R459)</f>
        <v>39.52</v>
      </c>
    </row>
    <row r="461" spans="1:11" ht="14.25">
      <c r="A461" s="40"/>
      <c r="B461" s="41"/>
      <c r="C461" s="41" t="s">
        <v>560</v>
      </c>
      <c r="D461" s="42" t="s">
        <v>559</v>
      </c>
      <c r="E461" s="10">
        <f>Source!DO203</f>
        <v>107</v>
      </c>
      <c r="F461" s="44"/>
      <c r="G461" s="43"/>
      <c r="H461" s="10"/>
      <c r="I461" s="45">
        <f>SUM(S454:S460)</f>
        <v>1.58</v>
      </c>
      <c r="J461" s="10">
        <f>Source!CA203</f>
        <v>54</v>
      </c>
      <c r="K461" s="45">
        <f>SUM(T454:T460)</f>
        <v>16.29</v>
      </c>
    </row>
    <row r="462" spans="1:11" ht="14.25">
      <c r="A462" s="40"/>
      <c r="B462" s="41"/>
      <c r="C462" s="41" t="s">
        <v>561</v>
      </c>
      <c r="D462" s="42" t="s">
        <v>559</v>
      </c>
      <c r="E462" s="10">
        <f>175</f>
        <v>175</v>
      </c>
      <c r="F462" s="44"/>
      <c r="G462" s="43"/>
      <c r="H462" s="10"/>
      <c r="I462" s="45">
        <f>SUM(U454:U461)</f>
        <v>1.33</v>
      </c>
      <c r="J462" s="10">
        <f>167</f>
        <v>167</v>
      </c>
      <c r="K462" s="45">
        <f>SUM(V454:V461)</f>
        <v>25.95</v>
      </c>
    </row>
    <row r="463" spans="1:28" ht="14.25">
      <c r="A463" s="40"/>
      <c r="B463" s="41"/>
      <c r="C463" s="41" t="s">
        <v>562</v>
      </c>
      <c r="D463" s="42" t="s">
        <v>563</v>
      </c>
      <c r="E463" s="10">
        <f>Source!AQ203</f>
        <v>0.53</v>
      </c>
      <c r="F463" s="44"/>
      <c r="G463" s="43">
        <f>Source!DI203</f>
      </c>
      <c r="H463" s="10">
        <f>Source!AV203</f>
        <v>1.047</v>
      </c>
      <c r="I463" s="45">
        <f>Source!U203</f>
        <v>0.11309065800000001</v>
      </c>
      <c r="J463" s="10"/>
      <c r="K463" s="45"/>
      <c r="AB463" s="48">
        <f>I463</f>
        <v>0.11309065800000001</v>
      </c>
    </row>
    <row r="464" spans="1:27" ht="15">
      <c r="A464" s="51"/>
      <c r="B464" s="51"/>
      <c r="C464" s="52" t="s">
        <v>564</v>
      </c>
      <c r="D464" s="51"/>
      <c r="E464" s="51"/>
      <c r="F464" s="51"/>
      <c r="G464" s="51"/>
      <c r="H464" s="53">
        <f>I456+I457+I459+I460+I461+I462</f>
        <v>10.47</v>
      </c>
      <c r="I464" s="53"/>
      <c r="J464" s="53">
        <f>K456+K457+K459+K460+K461+K462</f>
        <v>143.57999999999998</v>
      </c>
      <c r="K464" s="53"/>
      <c r="O464" s="48">
        <f>H464</f>
        <v>10.47</v>
      </c>
      <c r="P464" s="48">
        <f>J464</f>
        <v>143.57999999999998</v>
      </c>
      <c r="X464">
        <f>IF(Source!BI203&lt;=1,I456+I457+I459+I460+I461+I462-0,0)</f>
        <v>10.47</v>
      </c>
      <c r="Y464">
        <f>IF(Source!BI203=2,I456+I457+I459+I460+I461+I462-0,0)</f>
        <v>0</v>
      </c>
      <c r="Z464">
        <f>IF(Source!BI203=3,I456+I457+I459+I460+I461+I462-0,0)</f>
        <v>0</v>
      </c>
      <c r="AA464">
        <f>IF(Source!BI203=4,I456+I457+I459+I460+I461+I462,0)</f>
        <v>0</v>
      </c>
    </row>
    <row r="466" spans="1:22" ht="42.75">
      <c r="A466" s="40" t="str">
        <f>Source!E204</f>
        <v>39</v>
      </c>
      <c r="B466" s="41" t="str">
        <f>Source!F204</f>
        <v>1.3-3-3</v>
      </c>
      <c r="C466" s="41" t="str">
        <f>Source!G204</f>
        <v>СМЕСИ АСФАЛЬТОБЕТОННЫЕ ДОРОЖНЫЕ ГОРЯЧИЕ КРУПНОЗЕРНИСТЫЕ, ТИП I</v>
      </c>
      <c r="D466" s="42" t="str">
        <f>Source!H204</f>
        <v>т</v>
      </c>
      <c r="E466" s="10">
        <f>Source!I204</f>
        <v>6.62</v>
      </c>
      <c r="F466" s="44">
        <f>Source!AL204</f>
        <v>296.7</v>
      </c>
      <c r="G466" s="43">
        <f>Source!DD204</f>
      </c>
      <c r="H466" s="10">
        <f>Source!AW204</f>
        <v>1</v>
      </c>
      <c r="I466" s="45">
        <f>ROUND((Source!AC204*Source!AW204)*Source!I204,2)</f>
        <v>1964.15</v>
      </c>
      <c r="J466" s="10">
        <f>IF(Source!BC204&lt;&gt;0,Source!BC204,1)</f>
        <v>8.7</v>
      </c>
      <c r="K466" s="45">
        <f>Source!P204</f>
        <v>17088.14</v>
      </c>
      <c r="Q466">
        <f>ROUND((Source!DN204/100)*ROUND((Source!AF204*Source!AV204)*Source!I204,2),2)</f>
        <v>0</v>
      </c>
      <c r="R466">
        <f>Source!X204</f>
        <v>0</v>
      </c>
      <c r="S466">
        <f>ROUND((Source!DO204/100)*ROUND((Source!AF204*Source!AV204)*Source!I204,2),2)</f>
        <v>0</v>
      </c>
      <c r="T466">
        <f>Source!Y204</f>
        <v>0</v>
      </c>
      <c r="U466">
        <f>ROUND((175/100)*ROUND((Source!AE204*Source!AV204)*Source!I204,2),2)</f>
        <v>0</v>
      </c>
      <c r="V466">
        <f>ROUND((167/100)*ROUND(Source!CS204*Source!I204,2),2)</f>
        <v>0</v>
      </c>
    </row>
    <row r="467" spans="1:27" ht="15">
      <c r="A467" s="51"/>
      <c r="B467" s="51"/>
      <c r="C467" s="52" t="s">
        <v>564</v>
      </c>
      <c r="D467" s="51"/>
      <c r="E467" s="51"/>
      <c r="F467" s="51"/>
      <c r="G467" s="51"/>
      <c r="H467" s="53">
        <f>I466</f>
        <v>1964.15</v>
      </c>
      <c r="I467" s="53"/>
      <c r="J467" s="53">
        <f>K466</f>
        <v>17088.14</v>
      </c>
      <c r="K467" s="53"/>
      <c r="O467" s="48">
        <f>H467</f>
        <v>1964.15</v>
      </c>
      <c r="P467" s="48">
        <f>J467</f>
        <v>17088.14</v>
      </c>
      <c r="X467">
        <f>IF(Source!BI204&lt;=1,I466-0,0)</f>
        <v>1964.15</v>
      </c>
      <c r="Y467">
        <f>IF(Source!BI204=2,I466-0,0)</f>
        <v>0</v>
      </c>
      <c r="Z467">
        <f>IF(Source!BI204=3,I466-0,0)</f>
        <v>0</v>
      </c>
      <c r="AA467">
        <f>IF(Source!BI204=4,I466,0)</f>
        <v>0</v>
      </c>
    </row>
    <row r="469" spans="1:22" ht="57">
      <c r="A469" s="40" t="str">
        <f>Source!E205</f>
        <v>40</v>
      </c>
      <c r="B469" s="41" t="str">
        <f>Source!F205</f>
        <v>3.27-42-1</v>
      </c>
      <c r="C469" s="41" t="str">
        <f>Source!G205</f>
        <v>УСТРОЙСТВО ПОКРЫТИЙ ИЗ ГОРЯЧИХ АСФАЛЬТОБЕТОННЫХ СМЕСЕЙ ТОЛЩИНОЙ 4 СМ КОМПЛЕКТОМ МАШИН</v>
      </c>
      <c r="D469" s="42" t="str">
        <f>Source!H205</f>
        <v>100 м2</v>
      </c>
      <c r="E469" s="10">
        <f>Source!I205</f>
        <v>0.5331</v>
      </c>
      <c r="F469" s="44"/>
      <c r="G469" s="43"/>
      <c r="H469" s="10"/>
      <c r="I469" s="45"/>
      <c r="J469" s="10"/>
      <c r="K469" s="45"/>
      <c r="Q469">
        <f>ROUND((Source!DN205/100)*ROUND((Source!AF205*Source!AV205)*Source!I205,2),2)</f>
        <v>46.88</v>
      </c>
      <c r="R469">
        <f>Source!X205</f>
        <v>778.18</v>
      </c>
      <c r="S469">
        <f>ROUND((Source!DO205/100)*ROUND((Source!AF205*Source!AV205)*Source!I205,2),2)</f>
        <v>31.16</v>
      </c>
      <c r="T469">
        <f>Source!Y205</f>
        <v>320.78</v>
      </c>
      <c r="U469">
        <f>ROUND((175/100)*ROUND((Source!AE205*Source!AV205)*Source!I205,2),2)</f>
        <v>74.45</v>
      </c>
      <c r="V469">
        <f>ROUND((167/100)*ROUND(Source!CS205*Source!I205,2),2)</f>
        <v>1449.34</v>
      </c>
    </row>
    <row r="470" ht="12.75">
      <c r="C470" s="46" t="str">
        <f>"Объем: "&amp;Source!I205&amp;"=53,31/"&amp;"100"</f>
        <v>Объем: 0,5331=53,31/100</v>
      </c>
    </row>
    <row r="471" spans="1:23" ht="14.25">
      <c r="A471" s="40"/>
      <c r="B471" s="41"/>
      <c r="C471" s="41" t="s">
        <v>554</v>
      </c>
      <c r="D471" s="42"/>
      <c r="E471" s="10"/>
      <c r="F471" s="44">
        <f>Source!AO205</f>
        <v>52.17</v>
      </c>
      <c r="G471" s="43">
        <f>Source!DG205</f>
      </c>
      <c r="H471" s="10">
        <f>Source!AV205</f>
        <v>1.047</v>
      </c>
      <c r="I471" s="45">
        <f>ROUND((Source!AF205*Source!AV205)*Source!I205,2)</f>
        <v>29.12</v>
      </c>
      <c r="J471" s="10">
        <f>IF(Source!BA205&lt;&gt;0,Source!BA205,1)</f>
        <v>20.4</v>
      </c>
      <c r="K471" s="45">
        <f>Source!S205</f>
        <v>594.03</v>
      </c>
      <c r="W471">
        <f>ROUND((Source!AF205*Source!AV205)*Source!I205,2)</f>
        <v>29.12</v>
      </c>
    </row>
    <row r="472" spans="1:11" ht="14.25">
      <c r="A472" s="40"/>
      <c r="B472" s="41"/>
      <c r="C472" s="41" t="s">
        <v>555</v>
      </c>
      <c r="D472" s="42"/>
      <c r="E472" s="10"/>
      <c r="F472" s="44">
        <f>Source!AM205</f>
        <v>419.23</v>
      </c>
      <c r="G472" s="43">
        <f>Source!DE205</f>
      </c>
      <c r="H472" s="10">
        <f>Source!AV205</f>
        <v>1.047</v>
      </c>
      <c r="I472" s="45">
        <f>ROUND(((((Source!ET205)-(Source!EU205))+Source!AE205)*Source!AV205)*Source!I205,2)</f>
        <v>234</v>
      </c>
      <c r="J472" s="10">
        <f>IF(Source!BB205&lt;&gt;0,Source!BB205,1)</f>
        <v>9.54</v>
      </c>
      <c r="K472" s="45">
        <f>Source!Q205</f>
        <v>2232.32</v>
      </c>
    </row>
    <row r="473" spans="1:23" ht="14.25">
      <c r="A473" s="40"/>
      <c r="B473" s="41"/>
      <c r="C473" s="41" t="s">
        <v>556</v>
      </c>
      <c r="D473" s="42"/>
      <c r="E473" s="10"/>
      <c r="F473" s="44">
        <f>Source!AN205</f>
        <v>76.22</v>
      </c>
      <c r="G473" s="43">
        <f>Source!DF205</f>
      </c>
      <c r="H473" s="10">
        <f>Source!AV205</f>
        <v>1.047</v>
      </c>
      <c r="I473" s="47">
        <f>ROUND((Source!AE205*Source!AV205)*Source!I205,2)</f>
        <v>42.54</v>
      </c>
      <c r="J473" s="10">
        <f>IF(Source!BS205&lt;&gt;0,Source!BS205,1)</f>
        <v>20.4</v>
      </c>
      <c r="K473" s="47">
        <f>Source!R205</f>
        <v>867.87</v>
      </c>
      <c r="W473">
        <f>ROUND((Source!AE205*Source!AV205)*Source!I205,2)</f>
        <v>42.54</v>
      </c>
    </row>
    <row r="474" spans="1:11" ht="14.25">
      <c r="A474" s="40"/>
      <c r="B474" s="41"/>
      <c r="C474" s="41" t="s">
        <v>557</v>
      </c>
      <c r="D474" s="42"/>
      <c r="E474" s="10"/>
      <c r="F474" s="44">
        <f>Source!AL205</f>
        <v>57.83</v>
      </c>
      <c r="G474" s="43">
        <f>Source!DD205</f>
      </c>
      <c r="H474" s="10">
        <f>Source!AW205</f>
        <v>1</v>
      </c>
      <c r="I474" s="45">
        <f>ROUND((Source!AC205*Source!AW205)*Source!I205,2)</f>
        <v>30.83</v>
      </c>
      <c r="J474" s="10">
        <f>IF(Source!BC205&lt;&gt;0,Source!BC205,1)</f>
        <v>8.96</v>
      </c>
      <c r="K474" s="45">
        <f>Source!P205</f>
        <v>276.23</v>
      </c>
    </row>
    <row r="475" spans="1:11" ht="14.25">
      <c r="A475" s="40"/>
      <c r="B475" s="41"/>
      <c r="C475" s="41" t="s">
        <v>558</v>
      </c>
      <c r="D475" s="42" t="s">
        <v>559</v>
      </c>
      <c r="E475" s="10">
        <f>Source!DN205</f>
        <v>161</v>
      </c>
      <c r="F475" s="44"/>
      <c r="G475" s="43"/>
      <c r="H475" s="10"/>
      <c r="I475" s="45">
        <f>SUM(Q469:Q474)</f>
        <v>46.88</v>
      </c>
      <c r="J475" s="10">
        <f>Source!BZ205</f>
        <v>131</v>
      </c>
      <c r="K475" s="45">
        <f>SUM(R469:R474)</f>
        <v>778.18</v>
      </c>
    </row>
    <row r="476" spans="1:11" ht="14.25">
      <c r="A476" s="40"/>
      <c r="B476" s="41"/>
      <c r="C476" s="41" t="s">
        <v>560</v>
      </c>
      <c r="D476" s="42" t="s">
        <v>559</v>
      </c>
      <c r="E476" s="10">
        <f>Source!DO205</f>
        <v>107</v>
      </c>
      <c r="F476" s="44"/>
      <c r="G476" s="43"/>
      <c r="H476" s="10"/>
      <c r="I476" s="45">
        <f>SUM(S469:S475)</f>
        <v>31.16</v>
      </c>
      <c r="J476" s="10">
        <f>Source!CA205</f>
        <v>54</v>
      </c>
      <c r="K476" s="45">
        <f>SUM(T469:T475)</f>
        <v>320.78</v>
      </c>
    </row>
    <row r="477" spans="1:11" ht="14.25">
      <c r="A477" s="40"/>
      <c r="B477" s="41"/>
      <c r="C477" s="41" t="s">
        <v>561</v>
      </c>
      <c r="D477" s="42" t="s">
        <v>559</v>
      </c>
      <c r="E477" s="10">
        <f>175</f>
        <v>175</v>
      </c>
      <c r="F477" s="44"/>
      <c r="G477" s="43"/>
      <c r="H477" s="10"/>
      <c r="I477" s="45">
        <f>SUM(U469:U476)</f>
        <v>74.45</v>
      </c>
      <c r="J477" s="10">
        <f>167</f>
        <v>167</v>
      </c>
      <c r="K477" s="45">
        <f>SUM(V469:V476)</f>
        <v>1449.34</v>
      </c>
    </row>
    <row r="478" spans="1:28" ht="14.25">
      <c r="A478" s="40"/>
      <c r="B478" s="41"/>
      <c r="C478" s="41" t="s">
        <v>562</v>
      </c>
      <c r="D478" s="42" t="s">
        <v>563</v>
      </c>
      <c r="E478" s="10">
        <f>Source!AQ205</f>
        <v>4.29</v>
      </c>
      <c r="F478" s="44"/>
      <c r="G478" s="43">
        <f>Source!DI205</f>
      </c>
      <c r="H478" s="10">
        <f>Source!AV205</f>
        <v>1.047</v>
      </c>
      <c r="I478" s="45">
        <f>Source!U205</f>
        <v>2.394487953</v>
      </c>
      <c r="J478" s="10"/>
      <c r="K478" s="45"/>
      <c r="AB478" s="48">
        <f>I478</f>
        <v>2.394487953</v>
      </c>
    </row>
    <row r="479" spans="1:27" ht="15">
      <c r="A479" s="51"/>
      <c r="B479" s="51"/>
      <c r="C479" s="52" t="s">
        <v>564</v>
      </c>
      <c r="D479" s="51"/>
      <c r="E479" s="51"/>
      <c r="F479" s="51"/>
      <c r="G479" s="51"/>
      <c r="H479" s="53">
        <f>I471+I472+I474+I475+I476+I477</f>
        <v>446.44</v>
      </c>
      <c r="I479" s="53"/>
      <c r="J479" s="53">
        <f>K471+K472+K474+K475+K476+K477</f>
        <v>5650.88</v>
      </c>
      <c r="K479" s="53"/>
      <c r="O479" s="48">
        <f>H479</f>
        <v>446.44</v>
      </c>
      <c r="P479" s="48">
        <f>J479</f>
        <v>5650.88</v>
      </c>
      <c r="X479">
        <f>IF(Source!BI205&lt;=1,I471+I472+I474+I475+I476+I477-0,0)</f>
        <v>446.44</v>
      </c>
      <c r="Y479">
        <f>IF(Source!BI205=2,I471+I472+I474+I475+I476+I477-0,0)</f>
        <v>0</v>
      </c>
      <c r="Z479">
        <f>IF(Source!BI205=3,I471+I472+I474+I475+I476+I477-0,0)</f>
        <v>0</v>
      </c>
      <c r="AA479">
        <f>IF(Source!BI205=4,I471+I472+I474+I475+I476+I477,0)</f>
        <v>0</v>
      </c>
    </row>
    <row r="481" spans="1:22" ht="42.75">
      <c r="A481" s="40" t="str">
        <f>Source!E206</f>
        <v>41</v>
      </c>
      <c r="B481" s="41" t="str">
        <f>Source!F206</f>
        <v>1.3-3-7</v>
      </c>
      <c r="C481" s="41" t="str">
        <f>Source!G206</f>
        <v>СМЕСИ АСФАЛЬТОБЕТОННЫЕ ДОРОЖНЫЕ ГОРЯЧИЕ МЕЛКОЗЕРНИСТЫЕ, МАРКА I, ТИП А</v>
      </c>
      <c r="D481" s="42" t="str">
        <f>Source!H206</f>
        <v>т</v>
      </c>
      <c r="E481" s="10">
        <f>Source!I206</f>
        <v>5.33</v>
      </c>
      <c r="F481" s="44">
        <f>Source!AL206</f>
        <v>307.59</v>
      </c>
      <c r="G481" s="43">
        <f>Source!DD206</f>
      </c>
      <c r="H481" s="10">
        <f>Source!AW206</f>
        <v>1</v>
      </c>
      <c r="I481" s="45">
        <f>ROUND((Source!AC206*Source!AW206)*Source!I206,2)</f>
        <v>1639.45</v>
      </c>
      <c r="J481" s="10">
        <f>IF(Source!BC206&lt;&gt;0,Source!BC206,1)</f>
        <v>8.53</v>
      </c>
      <c r="K481" s="45">
        <f>Source!P206</f>
        <v>13984.55</v>
      </c>
      <c r="Q481">
        <f>ROUND((Source!DN206/100)*ROUND((Source!AF206*Source!AV206)*Source!I206,2),2)</f>
        <v>0</v>
      </c>
      <c r="R481">
        <f>Source!X206</f>
        <v>0</v>
      </c>
      <c r="S481">
        <f>ROUND((Source!DO206/100)*ROUND((Source!AF206*Source!AV206)*Source!I206,2),2)</f>
        <v>0</v>
      </c>
      <c r="T481">
        <f>Source!Y206</f>
        <v>0</v>
      </c>
      <c r="U481">
        <f>ROUND((175/100)*ROUND((Source!AE206*Source!AV206)*Source!I206,2),2)</f>
        <v>0</v>
      </c>
      <c r="V481">
        <f>ROUND((167/100)*ROUND(Source!CS206*Source!I206,2),2)</f>
        <v>0</v>
      </c>
    </row>
    <row r="482" spans="1:27" ht="15">
      <c r="A482" s="51"/>
      <c r="B482" s="51"/>
      <c r="C482" s="52" t="s">
        <v>564</v>
      </c>
      <c r="D482" s="51"/>
      <c r="E482" s="51"/>
      <c r="F482" s="51"/>
      <c r="G482" s="51"/>
      <c r="H482" s="53">
        <f>I481</f>
        <v>1639.45</v>
      </c>
      <c r="I482" s="53"/>
      <c r="J482" s="53">
        <f>K481</f>
        <v>13984.55</v>
      </c>
      <c r="K482" s="53"/>
      <c r="O482" s="48">
        <f>H482</f>
        <v>1639.45</v>
      </c>
      <c r="P482" s="48">
        <f>J482</f>
        <v>13984.55</v>
      </c>
      <c r="X482">
        <f>IF(Source!BI206&lt;=1,I481-0,0)</f>
        <v>1639.45</v>
      </c>
      <c r="Y482">
        <f>IF(Source!BI206=2,I481-0,0)</f>
        <v>0</v>
      </c>
      <c r="Z482">
        <f>IF(Source!BI206=3,I481-0,0)</f>
        <v>0</v>
      </c>
      <c r="AA482">
        <f>IF(Source!BI206=4,I481,0)</f>
        <v>0</v>
      </c>
    </row>
    <row r="485" spans="1:32" ht="15">
      <c r="A485" s="56" t="str">
        <f>CONCATENATE("Итого по подразделу: ",IF(Source!G208&lt;&gt;"Новый подраздел",Source!G208,""))</f>
        <v>Итого по подразделу: Восстановление а/б и ц/б покрытия в дороге</v>
      </c>
      <c r="B485" s="56"/>
      <c r="C485" s="56"/>
      <c r="D485" s="56"/>
      <c r="E485" s="56"/>
      <c r="F485" s="56"/>
      <c r="G485" s="56"/>
      <c r="H485" s="50">
        <f>SUM(O416:O484)</f>
        <v>7049.329999999999</v>
      </c>
      <c r="I485" s="55"/>
      <c r="J485" s="50">
        <f>SUM(P416:P484)</f>
        <v>62410.119999999995</v>
      </c>
      <c r="K485" s="55"/>
      <c r="AF485" s="57" t="str">
        <f>CONCATENATE("Итого по подразделу: ",IF(Source!G208&lt;&gt;"Новый подраздел",Source!G208,""))</f>
        <v>Итого по подразделу: Восстановление а/б и ц/б покрытия в дороге</v>
      </c>
    </row>
    <row r="487" spans="1:31" ht="16.5">
      <c r="A487" s="38" t="str">
        <f>CONCATENATE("Подраздел: ",IF(Source!G234&lt;&gt;"Новый подраздел",Source!G234,""))</f>
        <v>Подраздел: ГНБ</v>
      </c>
      <c r="B487" s="38"/>
      <c r="C487" s="38"/>
      <c r="D487" s="38"/>
      <c r="E487" s="38"/>
      <c r="F487" s="38"/>
      <c r="G487" s="38"/>
      <c r="H487" s="38"/>
      <c r="I487" s="38"/>
      <c r="J487" s="38"/>
      <c r="K487" s="38"/>
      <c r="AE487" s="39" t="str">
        <f>CONCATENATE("Подраздел: ",IF(Source!G234&lt;&gt;"Новый подраздел",Source!G234,""))</f>
        <v>Подраздел: ГНБ</v>
      </c>
    </row>
    <row r="488" spans="1:22" ht="57">
      <c r="A488" s="40" t="str">
        <f>Source!E238</f>
        <v>42</v>
      </c>
      <c r="B488" s="41" t="s">
        <v>553</v>
      </c>
      <c r="C488" s="41" t="str">
        <f>Source!G238</f>
        <v>РАЗРАБОТКА ГРУНТА ВРУЧНУЮ В ТРАНШЕЯХ ГЛУБИНОЙ ДО 2 М БЕЗ КРЕПЛЕНИЙ С ОТКОСАМИ ГРУППА ГРУНТОВ 1-3</v>
      </c>
      <c r="D488" s="42" t="str">
        <f>Source!H238</f>
        <v>100 м3</v>
      </c>
      <c r="E488" s="10">
        <f>Source!I238</f>
        <v>0.36</v>
      </c>
      <c r="F488" s="44"/>
      <c r="G488" s="43"/>
      <c r="H488" s="10"/>
      <c r="I488" s="45"/>
      <c r="J488" s="10"/>
      <c r="K488" s="45"/>
      <c r="Q488">
        <f>ROUND((Source!DN238/100)*ROUND((Source!AF238*Source!AV238)*Source!I238,2),2)</f>
        <v>1108.13</v>
      </c>
      <c r="R488">
        <f>Source!X238</f>
        <v>18300.02</v>
      </c>
      <c r="S488">
        <f>ROUND((Source!DO238/100)*ROUND((Source!AF238*Source!AV238)*Source!I238,2),2)</f>
        <v>812.63</v>
      </c>
      <c r="T488">
        <f>Source!Y238</f>
        <v>8827.07</v>
      </c>
      <c r="U488">
        <f>ROUND((175/100)*ROUND((Source!AE238*Source!AV238)*Source!I238,2),2)</f>
        <v>0</v>
      </c>
      <c r="V488">
        <f>ROUND((167/100)*ROUND(Source!CS238*Source!I238,2),2)</f>
        <v>0</v>
      </c>
    </row>
    <row r="489" ht="12.75">
      <c r="C489" s="46" t="str">
        <f>"Объем: "&amp;Source!I238&amp;"=36/"&amp;"100"</f>
        <v>Объем: 0,36=36/100</v>
      </c>
    </row>
    <row r="490" spans="1:23" ht="14.25">
      <c r="A490" s="40"/>
      <c r="B490" s="41"/>
      <c r="C490" s="41" t="s">
        <v>554</v>
      </c>
      <c r="D490" s="42"/>
      <c r="E490" s="10"/>
      <c r="F490" s="44">
        <f>Source!AO238</f>
        <v>2042.62</v>
      </c>
      <c r="G490" s="43" t="str">
        <f>Source!DG238</f>
        <v>)*1,15</v>
      </c>
      <c r="H490" s="10">
        <f>Source!AV238</f>
        <v>1.248</v>
      </c>
      <c r="I490" s="45">
        <f>ROUND((Source!AF238*Source!AV238)*Source!I238,2)</f>
        <v>1055.36</v>
      </c>
      <c r="J490" s="10">
        <f>IF(Source!BA238&lt;&gt;0,Source!BA238,1)</f>
        <v>20.4</v>
      </c>
      <c r="K490" s="45">
        <f>Source!S238</f>
        <v>21529.44</v>
      </c>
      <c r="W490">
        <f>ROUND((Source!AF238*Source!AV238)*Source!I238,2)</f>
        <v>1055.36</v>
      </c>
    </row>
    <row r="491" spans="1:11" ht="14.25">
      <c r="A491" s="40"/>
      <c r="B491" s="41"/>
      <c r="C491" s="41" t="s">
        <v>555</v>
      </c>
      <c r="D491" s="42"/>
      <c r="E491" s="10"/>
      <c r="F491" s="44">
        <f>Source!AM238</f>
        <v>0</v>
      </c>
      <c r="G491" s="43" t="str">
        <f>Source!DE238</f>
        <v>)*1,15</v>
      </c>
      <c r="H491" s="10">
        <f>Source!AV238</f>
        <v>1.248</v>
      </c>
      <c r="I491" s="45">
        <f>ROUND((((((Source!ET238*1.15))-((Source!EU238*1.15)))+Source!AE238)*Source!AV238)*Source!I238,2)</f>
        <v>0</v>
      </c>
      <c r="J491" s="10">
        <f>IF(Source!BB238&lt;&gt;0,Source!BB238,1)</f>
        <v>1</v>
      </c>
      <c r="K491" s="45">
        <f>Source!Q238</f>
        <v>0</v>
      </c>
    </row>
    <row r="492" spans="1:23" ht="14.25">
      <c r="A492" s="40"/>
      <c r="B492" s="41"/>
      <c r="C492" s="41" t="s">
        <v>556</v>
      </c>
      <c r="D492" s="42"/>
      <c r="E492" s="10"/>
      <c r="F492" s="44">
        <f>Source!AN238</f>
        <v>0</v>
      </c>
      <c r="G492" s="43" t="str">
        <f>Source!DF238</f>
        <v>)*1,15</v>
      </c>
      <c r="H492" s="10">
        <f>Source!AV238</f>
        <v>1.248</v>
      </c>
      <c r="I492" s="47">
        <f>ROUND((Source!AE238*Source!AV238)*Source!I238,2)</f>
        <v>0</v>
      </c>
      <c r="J492" s="10">
        <f>IF(Source!BS238&lt;&gt;0,Source!BS238,1)</f>
        <v>20.4</v>
      </c>
      <c r="K492" s="47">
        <f>Source!R238</f>
        <v>0</v>
      </c>
      <c r="W492">
        <f>ROUND((Source!AE238*Source!AV238)*Source!I238,2)</f>
        <v>0</v>
      </c>
    </row>
    <row r="493" spans="1:11" ht="14.25">
      <c r="A493" s="40"/>
      <c r="B493" s="41"/>
      <c r="C493" s="41" t="s">
        <v>557</v>
      </c>
      <c r="D493" s="42"/>
      <c r="E493" s="10"/>
      <c r="F493" s="44">
        <f>Source!AL238</f>
        <v>0</v>
      </c>
      <c r="G493" s="43">
        <f>Source!DD238</f>
      </c>
      <c r="H493" s="10">
        <f>Source!AW238</f>
        <v>1</v>
      </c>
      <c r="I493" s="45">
        <f>ROUND((Source!AC238*Source!AW238)*Source!I238,2)</f>
        <v>0</v>
      </c>
      <c r="J493" s="10">
        <f>IF(Source!BC238&lt;&gt;0,Source!BC238,1)</f>
        <v>1</v>
      </c>
      <c r="K493" s="45">
        <f>Source!P238</f>
        <v>0</v>
      </c>
    </row>
    <row r="494" spans="1:11" ht="14.25">
      <c r="A494" s="40"/>
      <c r="B494" s="41"/>
      <c r="C494" s="41" t="s">
        <v>558</v>
      </c>
      <c r="D494" s="42" t="s">
        <v>559</v>
      </c>
      <c r="E494" s="10">
        <f>Source!DN238</f>
        <v>105</v>
      </c>
      <c r="F494" s="44"/>
      <c r="G494" s="43"/>
      <c r="H494" s="10"/>
      <c r="I494" s="45">
        <f>SUM(Q488:Q493)</f>
        <v>1108.13</v>
      </c>
      <c r="J494" s="10">
        <f>Source!BZ238</f>
        <v>85</v>
      </c>
      <c r="K494" s="45">
        <f>SUM(R488:R493)</f>
        <v>18300.02</v>
      </c>
    </row>
    <row r="495" spans="1:11" ht="14.25">
      <c r="A495" s="40"/>
      <c r="B495" s="41"/>
      <c r="C495" s="41" t="s">
        <v>560</v>
      </c>
      <c r="D495" s="42" t="s">
        <v>559</v>
      </c>
      <c r="E495" s="10">
        <f>Source!DO238</f>
        <v>77</v>
      </c>
      <c r="F495" s="44"/>
      <c r="G495" s="43"/>
      <c r="H495" s="10"/>
      <c r="I495" s="45">
        <f>SUM(S488:S494)</f>
        <v>812.63</v>
      </c>
      <c r="J495" s="10">
        <f>Source!CA238</f>
        <v>41</v>
      </c>
      <c r="K495" s="45">
        <f>SUM(T488:T494)</f>
        <v>8827.07</v>
      </c>
    </row>
    <row r="496" spans="1:11" ht="14.25">
      <c r="A496" s="40"/>
      <c r="B496" s="41"/>
      <c r="C496" s="41" t="s">
        <v>561</v>
      </c>
      <c r="D496" s="42" t="s">
        <v>559</v>
      </c>
      <c r="E496" s="10">
        <f>175</f>
        <v>175</v>
      </c>
      <c r="F496" s="44"/>
      <c r="G496" s="43"/>
      <c r="H496" s="10"/>
      <c r="I496" s="45">
        <f>SUM(U488:U495)</f>
        <v>0</v>
      </c>
      <c r="J496" s="10">
        <f>167</f>
        <v>167</v>
      </c>
      <c r="K496" s="45">
        <f>SUM(V488:V495)</f>
        <v>0</v>
      </c>
    </row>
    <row r="497" spans="1:28" ht="14.25">
      <c r="A497" s="40"/>
      <c r="B497" s="41"/>
      <c r="C497" s="41" t="s">
        <v>562</v>
      </c>
      <c r="D497" s="42" t="s">
        <v>563</v>
      </c>
      <c r="E497" s="10">
        <f>Source!AQ238</f>
        <v>192.7</v>
      </c>
      <c r="F497" s="44"/>
      <c r="G497" s="43" t="str">
        <f>Source!DI238</f>
        <v>)*1,15</v>
      </c>
      <c r="H497" s="10">
        <f>Source!AV238</f>
        <v>1.248</v>
      </c>
      <c r="I497" s="45">
        <f>Source!U238</f>
        <v>99.56269439999997</v>
      </c>
      <c r="J497" s="10"/>
      <c r="K497" s="45"/>
      <c r="AB497" s="48">
        <f>I497</f>
        <v>99.56269439999997</v>
      </c>
    </row>
    <row r="498" spans="1:27" ht="15">
      <c r="A498" s="51"/>
      <c r="B498" s="51"/>
      <c r="C498" s="52" t="s">
        <v>564</v>
      </c>
      <c r="D498" s="51"/>
      <c r="E498" s="51"/>
      <c r="F498" s="51"/>
      <c r="G498" s="51"/>
      <c r="H498" s="53">
        <f>I490+I491+I493+I494+I495+I496</f>
        <v>2976.12</v>
      </c>
      <c r="I498" s="53"/>
      <c r="J498" s="53">
        <f>K490+K491+K493+K494+K495+K496</f>
        <v>48656.53</v>
      </c>
      <c r="K498" s="53"/>
      <c r="O498" s="48">
        <f>H498</f>
        <v>2976.12</v>
      </c>
      <c r="P498" s="48">
        <f>J498</f>
        <v>48656.53</v>
      </c>
      <c r="X498">
        <f>IF(Source!BI238&lt;=1,I490+I491+I493+I494+I495+I496-0,0)</f>
        <v>2976.12</v>
      </c>
      <c r="Y498">
        <f>IF(Source!BI238=2,I490+I491+I493+I494+I495+I496-0,0)</f>
        <v>0</v>
      </c>
      <c r="Z498">
        <f>IF(Source!BI238=3,I490+I491+I493+I494+I495+I496-0,0)</f>
        <v>0</v>
      </c>
      <c r="AA498">
        <f>IF(Source!BI238=4,I490+I491+I493+I494+I495+I496,0)</f>
        <v>0</v>
      </c>
    </row>
    <row r="500" spans="1:22" ht="57">
      <c r="A500" s="40" t="str">
        <f>Source!E239</f>
        <v>43</v>
      </c>
      <c r="B500" s="41" t="s">
        <v>586</v>
      </c>
      <c r="C500" s="41" t="str">
        <f>Source!G239</f>
        <v>МОНТАЖ УСТАНОВКИ ГОРИЗОНТАЛЬНО НАПРАВЛЕННОГО БУРЕНИЯ С ТЯГОВЫМ УСИЛИЕМ ДО 200 КН</v>
      </c>
      <c r="D500" s="42" t="str">
        <f>Source!H239</f>
        <v>шт.</v>
      </c>
      <c r="E500" s="10">
        <f>Source!I239</f>
        <v>3</v>
      </c>
      <c r="F500" s="44"/>
      <c r="G500" s="43"/>
      <c r="H500" s="10"/>
      <c r="I500" s="45"/>
      <c r="J500" s="10"/>
      <c r="K500" s="45"/>
      <c r="Q500">
        <f>ROUND((Source!DN239/100)*ROUND((Source!AF239*Source!AV239)*Source!I239,2),2)</f>
        <v>18.36</v>
      </c>
      <c r="R500">
        <f>Source!X239</f>
        <v>299.02</v>
      </c>
      <c r="S500">
        <f>ROUND((Source!DO239/100)*ROUND((Source!AF239*Source!AV239)*Source!I239,2),2)</f>
        <v>19.47</v>
      </c>
      <c r="T500">
        <f>Source!Y239</f>
        <v>188.46</v>
      </c>
      <c r="U500">
        <f>ROUND((175/100)*ROUND((Source!AE239*Source!AV239)*Source!I239,2),2)</f>
        <v>102.97</v>
      </c>
      <c r="V500">
        <f>ROUND((167/100)*ROUND(Source!CS239*Source!I239,2),2)</f>
        <v>2004.63</v>
      </c>
    </row>
    <row r="501" spans="1:23" ht="14.25">
      <c r="A501" s="40"/>
      <c r="B501" s="41"/>
      <c r="C501" s="41" t="s">
        <v>554</v>
      </c>
      <c r="D501" s="42"/>
      <c r="E501" s="10"/>
      <c r="F501" s="44">
        <f>Source!AO239</f>
        <v>3.41</v>
      </c>
      <c r="G501" s="43" t="str">
        <f>Source!DG239</f>
        <v>)*1,15</v>
      </c>
      <c r="H501" s="10">
        <f>Source!AV239</f>
        <v>1.047</v>
      </c>
      <c r="I501" s="45">
        <f>ROUND((Source!AF239*Source!AV239)*Source!I239,2)</f>
        <v>12.32</v>
      </c>
      <c r="J501" s="10">
        <f>IF(Source!BA239&lt;&gt;0,Source!BA239,1)</f>
        <v>20.4</v>
      </c>
      <c r="K501" s="45">
        <f>Source!S239</f>
        <v>251.28</v>
      </c>
      <c r="W501">
        <f>ROUND((Source!AF239*Source!AV239)*Source!I239,2)</f>
        <v>12.32</v>
      </c>
    </row>
    <row r="502" spans="1:11" ht="14.25">
      <c r="A502" s="40"/>
      <c r="B502" s="41"/>
      <c r="C502" s="41" t="s">
        <v>555</v>
      </c>
      <c r="D502" s="42"/>
      <c r="E502" s="10"/>
      <c r="F502" s="44">
        <f>Source!AM239</f>
        <v>263.77</v>
      </c>
      <c r="G502" s="43" t="str">
        <f>Source!DE239</f>
        <v>)*1,15</v>
      </c>
      <c r="H502" s="10">
        <f>Source!AV239</f>
        <v>1.047</v>
      </c>
      <c r="I502" s="45">
        <f>ROUND((((((Source!ET239*1.15))-((Source!EU239*1.15)))+Source!AE239)*Source!AV239)*Source!I239,2)</f>
        <v>952.78</v>
      </c>
      <c r="J502" s="10">
        <f>IF(Source!BB239&lt;&gt;0,Source!BB239,1)</f>
        <v>5.58</v>
      </c>
      <c r="K502" s="45">
        <f>Source!Q239</f>
        <v>5316.49</v>
      </c>
    </row>
    <row r="503" spans="1:23" ht="14.25">
      <c r="A503" s="40"/>
      <c r="B503" s="41"/>
      <c r="C503" s="41" t="s">
        <v>556</v>
      </c>
      <c r="D503" s="42"/>
      <c r="E503" s="10"/>
      <c r="F503" s="44">
        <f>Source!AN239</f>
        <v>16.29</v>
      </c>
      <c r="G503" s="43" t="str">
        <f>Source!DF239</f>
        <v>)*1,15</v>
      </c>
      <c r="H503" s="10">
        <f>Source!AV239</f>
        <v>1.047</v>
      </c>
      <c r="I503" s="47">
        <f>ROUND((Source!AE239*Source!AV239)*Source!I239,2)</f>
        <v>58.84</v>
      </c>
      <c r="J503" s="10">
        <f>IF(Source!BS239&lt;&gt;0,Source!BS239,1)</f>
        <v>20.4</v>
      </c>
      <c r="K503" s="47">
        <f>Source!R239</f>
        <v>1200.38</v>
      </c>
      <c r="W503">
        <f>ROUND((Source!AE239*Source!AV239)*Source!I239,2)</f>
        <v>58.84</v>
      </c>
    </row>
    <row r="504" spans="1:11" ht="14.25">
      <c r="A504" s="40"/>
      <c r="B504" s="41"/>
      <c r="C504" s="41" t="s">
        <v>557</v>
      </c>
      <c r="D504" s="42"/>
      <c r="E504" s="10"/>
      <c r="F504" s="44">
        <f>Source!AL239</f>
        <v>0</v>
      </c>
      <c r="G504" s="43">
        <f>Source!DD239</f>
      </c>
      <c r="H504" s="10">
        <f>Source!AW239</f>
        <v>1.079</v>
      </c>
      <c r="I504" s="45">
        <f>ROUND((Source!AC239*Source!AW239)*Source!I239,2)</f>
        <v>0</v>
      </c>
      <c r="J504" s="10">
        <f>IF(Source!BC239&lt;&gt;0,Source!BC239,1)</f>
        <v>1</v>
      </c>
      <c r="K504" s="45">
        <f>Source!P239</f>
        <v>0</v>
      </c>
    </row>
    <row r="505" spans="1:11" ht="14.25">
      <c r="A505" s="40"/>
      <c r="B505" s="41"/>
      <c r="C505" s="41" t="s">
        <v>558</v>
      </c>
      <c r="D505" s="42" t="s">
        <v>559</v>
      </c>
      <c r="E505" s="10">
        <f>Source!DN239</f>
        <v>149</v>
      </c>
      <c r="F505" s="44"/>
      <c r="G505" s="43"/>
      <c r="H505" s="10"/>
      <c r="I505" s="45">
        <f>SUM(Q500:Q504)</f>
        <v>18.36</v>
      </c>
      <c r="J505" s="10">
        <f>Source!BZ239</f>
        <v>119</v>
      </c>
      <c r="K505" s="45">
        <f>SUM(R500:R504)</f>
        <v>299.02</v>
      </c>
    </row>
    <row r="506" spans="1:11" ht="14.25">
      <c r="A506" s="40"/>
      <c r="B506" s="41"/>
      <c r="C506" s="41" t="s">
        <v>560</v>
      </c>
      <c r="D506" s="42" t="s">
        <v>559</v>
      </c>
      <c r="E506" s="10">
        <f>Source!DO239</f>
        <v>158</v>
      </c>
      <c r="F506" s="44"/>
      <c r="G506" s="43"/>
      <c r="H506" s="10"/>
      <c r="I506" s="45">
        <f>SUM(S500:S505)</f>
        <v>19.47</v>
      </c>
      <c r="J506" s="10">
        <f>Source!CA239</f>
        <v>75</v>
      </c>
      <c r="K506" s="45">
        <f>SUM(T500:T505)</f>
        <v>188.46</v>
      </c>
    </row>
    <row r="507" spans="1:11" ht="14.25">
      <c r="A507" s="40"/>
      <c r="B507" s="41"/>
      <c r="C507" s="41" t="s">
        <v>561</v>
      </c>
      <c r="D507" s="42" t="s">
        <v>559</v>
      </c>
      <c r="E507" s="10">
        <f>175</f>
        <v>175</v>
      </c>
      <c r="F507" s="44"/>
      <c r="G507" s="43"/>
      <c r="H507" s="10"/>
      <c r="I507" s="45">
        <f>SUM(U500:U506)</f>
        <v>102.97</v>
      </c>
      <c r="J507" s="10">
        <f>167</f>
        <v>167</v>
      </c>
      <c r="K507" s="45">
        <f>SUM(V500:V506)</f>
        <v>2004.63</v>
      </c>
    </row>
    <row r="508" spans="1:28" ht="14.25">
      <c r="A508" s="40"/>
      <c r="B508" s="41"/>
      <c r="C508" s="41" t="s">
        <v>562</v>
      </c>
      <c r="D508" s="42" t="s">
        <v>563</v>
      </c>
      <c r="E508" s="10">
        <f>Source!AQ239</f>
        <v>0.27</v>
      </c>
      <c r="F508" s="44"/>
      <c r="G508" s="43" t="str">
        <f>Source!DI239</f>
        <v>)*1,15</v>
      </c>
      <c r="H508" s="10">
        <f>Source!AV239</f>
        <v>1.047</v>
      </c>
      <c r="I508" s="45">
        <f>Source!U239</f>
        <v>0.9752805</v>
      </c>
      <c r="J508" s="10"/>
      <c r="K508" s="45"/>
      <c r="AB508" s="48">
        <f>I508</f>
        <v>0.9752805</v>
      </c>
    </row>
    <row r="509" spans="1:27" ht="15">
      <c r="A509" s="51"/>
      <c r="B509" s="51"/>
      <c r="C509" s="52" t="s">
        <v>564</v>
      </c>
      <c r="D509" s="51"/>
      <c r="E509" s="51"/>
      <c r="F509" s="51"/>
      <c r="G509" s="51"/>
      <c r="H509" s="53">
        <f>I501+I502+I504+I505+I506+I507</f>
        <v>1105.9</v>
      </c>
      <c r="I509" s="53"/>
      <c r="J509" s="53">
        <f>K501+K502+K504+K505+K506+K507</f>
        <v>8059.879999999999</v>
      </c>
      <c r="K509" s="53"/>
      <c r="O509" s="48">
        <f>H509</f>
        <v>1105.9</v>
      </c>
      <c r="P509" s="48">
        <f>J509</f>
        <v>8059.879999999999</v>
      </c>
      <c r="X509">
        <f>IF(Source!BI239&lt;=1,I501+I502+I504+I505+I506+I507-0,0)</f>
        <v>1105.9</v>
      </c>
      <c r="Y509">
        <f>IF(Source!BI239=2,I501+I502+I504+I505+I506+I507-0,0)</f>
        <v>0</v>
      </c>
      <c r="Z509">
        <f>IF(Source!BI239=3,I501+I502+I504+I505+I506+I507-0,0)</f>
        <v>0</v>
      </c>
      <c r="AA509">
        <f>IF(Source!BI239=4,I501+I502+I504+I505+I506+I507,0)</f>
        <v>0</v>
      </c>
    </row>
    <row r="511" spans="1:22" ht="156.75">
      <c r="A511" s="40" t="str">
        <f>Source!E240</f>
        <v>44</v>
      </c>
      <c r="B511" s="41" t="s">
        <v>587</v>
      </c>
      <c r="C511" s="41" t="str">
        <f>Source!G240</f>
        <v>УСТРОЙСТВО ЗАКРЫТОГО (ПОДЗЕМНОГО) ПЕРЕХОДА МЕТОДОМ ГОРИЗОНТАЛЬНО НАПРАВЛЕННОГО БУРЕНИЯ С ПОЭТАПНЫМ РАСШИРЕНИЕМ СКВАЖИНЫ ДЛЯ ПОЛИЭТИЛЕНОВЫХ ТРУБ В ГРУНТАХ I-III ГРУППЫ УСТАНОВКАМИ С ТЯГОВЫМ УСИЛИЕМ ДО 200 КН ДЛЯ ТРУБ DY=225 ММ ДЛИНОЙ ДО 300 М</v>
      </c>
      <c r="D511" s="42" t="str">
        <f>Source!H240</f>
        <v>м</v>
      </c>
      <c r="E511" s="10">
        <f>Source!I240</f>
        <v>1388</v>
      </c>
      <c r="F511" s="44"/>
      <c r="G511" s="43"/>
      <c r="H511" s="10"/>
      <c r="I511" s="45"/>
      <c r="J511" s="10"/>
      <c r="K511" s="45"/>
      <c r="Q511">
        <f>ROUND((Source!DN240/100)*ROUND((Source!AF240*Source!AV240)*Source!I240,2),2)</f>
        <v>45892.91</v>
      </c>
      <c r="R511">
        <f>Source!X240</f>
        <v>747715.62</v>
      </c>
      <c r="S511">
        <f>ROUND((Source!DO240/100)*ROUND((Source!AF240*Source!AV240)*Source!I240,2),2)</f>
        <v>48664.96</v>
      </c>
      <c r="T511">
        <f>Source!Y240</f>
        <v>471249.34</v>
      </c>
      <c r="U511">
        <f>ROUND((175/100)*ROUND((Source!AE240*Source!AV240)*Source!I240,2),2)</f>
        <v>166294.89</v>
      </c>
      <c r="V511">
        <f>ROUND((167/100)*ROUND(Source!CS240*Source!I240,2),2)</f>
        <v>3237333.81</v>
      </c>
    </row>
    <row r="512" spans="1:23" ht="14.25">
      <c r="A512" s="40"/>
      <c r="B512" s="41"/>
      <c r="C512" s="41" t="s">
        <v>554</v>
      </c>
      <c r="D512" s="42"/>
      <c r="E512" s="10"/>
      <c r="F512" s="44">
        <f>Source!AO240</f>
        <v>18.43</v>
      </c>
      <c r="G512" s="43" t="str">
        <f>Source!DG240</f>
        <v>)*1,15</v>
      </c>
      <c r="H512" s="10">
        <f>Source!AV240</f>
        <v>1.047</v>
      </c>
      <c r="I512" s="45">
        <f>ROUND((Source!AF240*Source!AV240)*Source!I240,2)</f>
        <v>30800.61</v>
      </c>
      <c r="J512" s="10">
        <f>IF(Source!BA240&lt;&gt;0,Source!BA240,1)</f>
        <v>20.4</v>
      </c>
      <c r="K512" s="45">
        <f>Source!S240</f>
        <v>628332.45</v>
      </c>
      <c r="W512">
        <f>ROUND((Source!AF240*Source!AV240)*Source!I240,2)</f>
        <v>30800.61</v>
      </c>
    </row>
    <row r="513" spans="1:11" ht="14.25">
      <c r="A513" s="40"/>
      <c r="B513" s="41"/>
      <c r="C513" s="41" t="s">
        <v>555</v>
      </c>
      <c r="D513" s="42"/>
      <c r="E513" s="10"/>
      <c r="F513" s="44">
        <f>Source!AM240</f>
        <v>663.91</v>
      </c>
      <c r="G513" s="43" t="str">
        <f>Source!DE240</f>
        <v>)*1,15</v>
      </c>
      <c r="H513" s="10">
        <f>Source!AV240</f>
        <v>1.047</v>
      </c>
      <c r="I513" s="45">
        <f>ROUND((((((Source!ET240*1.15))-((Source!EU240*1.15)))+Source!AE240)*Source!AV240)*Source!I240,2)</f>
        <v>1109540.6</v>
      </c>
      <c r="J513" s="10">
        <f>IF(Source!BB240&lt;&gt;0,Source!BB240,1)</f>
        <v>6.16</v>
      </c>
      <c r="K513" s="45">
        <f>Source!Q240</f>
        <v>6834770.09</v>
      </c>
    </row>
    <row r="514" spans="1:23" ht="14.25">
      <c r="A514" s="40"/>
      <c r="B514" s="41"/>
      <c r="C514" s="41" t="s">
        <v>556</v>
      </c>
      <c r="D514" s="42"/>
      <c r="E514" s="10"/>
      <c r="F514" s="44">
        <f>Source!AN240</f>
        <v>56.86</v>
      </c>
      <c r="G514" s="43" t="str">
        <f>Source!DF240</f>
        <v>)*1,15</v>
      </c>
      <c r="H514" s="10">
        <f>Source!AV240</f>
        <v>1.047</v>
      </c>
      <c r="I514" s="47">
        <f>ROUND((Source!AE240*Source!AV240)*Source!I240,2)</f>
        <v>95025.65</v>
      </c>
      <c r="J514" s="10">
        <f>IF(Source!BS240&lt;&gt;0,Source!BS240,1)</f>
        <v>20.4</v>
      </c>
      <c r="K514" s="47">
        <f>Source!R240</f>
        <v>1938523.24</v>
      </c>
      <c r="W514">
        <f>ROUND((Source!AE240*Source!AV240)*Source!I240,2)</f>
        <v>95025.65</v>
      </c>
    </row>
    <row r="515" spans="1:11" ht="14.25">
      <c r="A515" s="40"/>
      <c r="B515" s="41"/>
      <c r="C515" s="41" t="s">
        <v>557</v>
      </c>
      <c r="D515" s="42"/>
      <c r="E515" s="10"/>
      <c r="F515" s="44">
        <f>Source!AL240</f>
        <v>8.28</v>
      </c>
      <c r="G515" s="43">
        <f>Source!DD240</f>
      </c>
      <c r="H515" s="10">
        <f>Source!AW240</f>
        <v>1.079</v>
      </c>
      <c r="I515" s="45">
        <f>ROUND((Source!AC240*Source!AW240)*Source!I240,2)</f>
        <v>12400.56</v>
      </c>
      <c r="J515" s="10">
        <f>IF(Source!BC240&lt;&gt;0,Source!BC240,1)</f>
        <v>3.84</v>
      </c>
      <c r="K515" s="45">
        <f>Source!P240</f>
        <v>47618.14</v>
      </c>
    </row>
    <row r="516" spans="1:11" ht="14.25">
      <c r="A516" s="40"/>
      <c r="B516" s="41"/>
      <c r="C516" s="41" t="s">
        <v>558</v>
      </c>
      <c r="D516" s="42" t="s">
        <v>559</v>
      </c>
      <c r="E516" s="10">
        <f>Source!DN240</f>
        <v>149</v>
      </c>
      <c r="F516" s="44"/>
      <c r="G516" s="43"/>
      <c r="H516" s="10"/>
      <c r="I516" s="45">
        <f>SUM(Q511:Q515)</f>
        <v>45892.91</v>
      </c>
      <c r="J516" s="10">
        <f>Source!BZ240</f>
        <v>119</v>
      </c>
      <c r="K516" s="45">
        <f>SUM(R511:R515)</f>
        <v>747715.62</v>
      </c>
    </row>
    <row r="517" spans="1:11" ht="14.25">
      <c r="A517" s="40"/>
      <c r="B517" s="41"/>
      <c r="C517" s="41" t="s">
        <v>560</v>
      </c>
      <c r="D517" s="42" t="s">
        <v>559</v>
      </c>
      <c r="E517" s="10">
        <f>Source!DO240</f>
        <v>158</v>
      </c>
      <c r="F517" s="44"/>
      <c r="G517" s="43"/>
      <c r="H517" s="10"/>
      <c r="I517" s="45">
        <f>SUM(S511:S516)</f>
        <v>48664.96</v>
      </c>
      <c r="J517" s="10">
        <f>Source!CA240</f>
        <v>75</v>
      </c>
      <c r="K517" s="45">
        <f>SUM(T511:T516)</f>
        <v>471249.34</v>
      </c>
    </row>
    <row r="518" spans="1:11" ht="14.25">
      <c r="A518" s="40"/>
      <c r="B518" s="41"/>
      <c r="C518" s="41" t="s">
        <v>561</v>
      </c>
      <c r="D518" s="42" t="s">
        <v>559</v>
      </c>
      <c r="E518" s="10">
        <f>175</f>
        <v>175</v>
      </c>
      <c r="F518" s="44"/>
      <c r="G518" s="43"/>
      <c r="H518" s="10"/>
      <c r="I518" s="45">
        <f>SUM(U511:U517)</f>
        <v>166294.89</v>
      </c>
      <c r="J518" s="10">
        <f>167</f>
        <v>167</v>
      </c>
      <c r="K518" s="45">
        <f>SUM(V511:V517)</f>
        <v>3237333.81</v>
      </c>
    </row>
    <row r="519" spans="1:28" ht="14.25">
      <c r="A519" s="40"/>
      <c r="B519" s="41"/>
      <c r="C519" s="41" t="s">
        <v>562</v>
      </c>
      <c r="D519" s="42" t="s">
        <v>563</v>
      </c>
      <c r="E519" s="10">
        <f>Source!AQ240</f>
        <v>1.32</v>
      </c>
      <c r="F519" s="44"/>
      <c r="G519" s="43" t="str">
        <f>Source!DI240</f>
        <v>)*1,15</v>
      </c>
      <c r="H519" s="10">
        <f>Source!AV240</f>
        <v>1.047</v>
      </c>
      <c r="I519" s="45">
        <f>Source!U240</f>
        <v>2206.012248</v>
      </c>
      <c r="J519" s="10"/>
      <c r="K519" s="45"/>
      <c r="AB519" s="48">
        <f>I519</f>
        <v>2206.012248</v>
      </c>
    </row>
    <row r="520" spans="1:27" ht="15">
      <c r="A520" s="51"/>
      <c r="B520" s="51"/>
      <c r="C520" s="52" t="s">
        <v>564</v>
      </c>
      <c r="D520" s="51"/>
      <c r="E520" s="51"/>
      <c r="F520" s="51"/>
      <c r="G520" s="51"/>
      <c r="H520" s="53">
        <f>I512+I513+I515+I516+I517+I518</f>
        <v>1413594.5300000003</v>
      </c>
      <c r="I520" s="53"/>
      <c r="J520" s="53">
        <f>K512+K513+K515+K516+K517+K518</f>
        <v>11967019.450000001</v>
      </c>
      <c r="K520" s="53"/>
      <c r="O520" s="48">
        <f>H520</f>
        <v>1413594.5300000003</v>
      </c>
      <c r="P520" s="48">
        <f>J520</f>
        <v>11967019.450000001</v>
      </c>
      <c r="X520">
        <f>IF(Source!BI240&lt;=1,I512+I513+I515+I516+I517+I518-0,0)</f>
        <v>1413594.5300000003</v>
      </c>
      <c r="Y520">
        <f>IF(Source!BI240=2,I512+I513+I515+I516+I517+I518-0,0)</f>
        <v>0</v>
      </c>
      <c r="Z520">
        <f>IF(Source!BI240=3,I512+I513+I515+I516+I517+I518-0,0)</f>
        <v>0</v>
      </c>
      <c r="AA520">
        <f>IF(Source!BI240=4,I512+I513+I515+I516+I517+I518,0)</f>
        <v>0</v>
      </c>
    </row>
    <row r="522" spans="1:22" ht="42.75">
      <c r="A522" s="40" t="str">
        <f>Source!E241</f>
        <v>45</v>
      </c>
      <c r="B522" s="41" t="str">
        <f>Source!F241</f>
        <v>1.1-1-3962</v>
      </c>
      <c r="C522" s="41" t="str">
        <f>Source!G241</f>
        <v>ГЛИНА БЕНТОНИТОВАЯ ПОРОШКООБРАЗНАЯ ФОРМОВОЧНАЯ, МАРКА М4Т1К</v>
      </c>
      <c r="D522" s="42" t="str">
        <f>Source!H241</f>
        <v>кг</v>
      </c>
      <c r="E522" s="10">
        <f>Source!I241</f>
        <v>112705.6</v>
      </c>
      <c r="F522" s="44">
        <f>Source!AL241</f>
        <v>23.37</v>
      </c>
      <c r="G522" s="43">
        <f>Source!DD241</f>
      </c>
      <c r="H522" s="10">
        <f>Source!AW241</f>
        <v>1</v>
      </c>
      <c r="I522" s="45">
        <f>ROUND((Source!AC241*Source!AW241)*Source!I241,2)</f>
        <v>2633929.87</v>
      </c>
      <c r="J522" s="10">
        <f>IF(Source!BC241&lt;&gt;0,Source!BC241,1)</f>
        <v>0.44</v>
      </c>
      <c r="K522" s="45">
        <f>Source!P241</f>
        <v>1158929.14</v>
      </c>
      <c r="Q522">
        <f>ROUND((Source!DN241/100)*ROUND((Source!AF241*Source!AV241)*Source!I241,2),2)</f>
        <v>0</v>
      </c>
      <c r="R522">
        <f>Source!X241</f>
        <v>0</v>
      </c>
      <c r="S522">
        <f>ROUND((Source!DO241/100)*ROUND((Source!AF241*Source!AV241)*Source!I241,2),2)</f>
        <v>0</v>
      </c>
      <c r="T522">
        <f>Source!Y241</f>
        <v>0</v>
      </c>
      <c r="U522">
        <f>ROUND((175/100)*ROUND((Source!AE241*Source!AV241)*Source!I241,2),2)</f>
        <v>0</v>
      </c>
      <c r="V522">
        <f>ROUND((167/100)*ROUND(Source!CS241*Source!I241,2),2)</f>
        <v>0</v>
      </c>
    </row>
    <row r="523" spans="1:27" ht="15">
      <c r="A523" s="51"/>
      <c r="B523" s="51"/>
      <c r="C523" s="52" t="s">
        <v>564</v>
      </c>
      <c r="D523" s="51"/>
      <c r="E523" s="51"/>
      <c r="F523" s="51"/>
      <c r="G523" s="51"/>
      <c r="H523" s="53">
        <f>I522</f>
        <v>2633929.87</v>
      </c>
      <c r="I523" s="53"/>
      <c r="J523" s="53">
        <f>K522</f>
        <v>1158929.14</v>
      </c>
      <c r="K523" s="53"/>
      <c r="O523" s="48">
        <f>H523</f>
        <v>2633929.87</v>
      </c>
      <c r="P523" s="48">
        <f>J523</f>
        <v>1158929.14</v>
      </c>
      <c r="X523">
        <f>IF(Source!BI241&lt;=1,I522-0,0)</f>
        <v>2633929.87</v>
      </c>
      <c r="Y523">
        <f>IF(Source!BI241=2,I522-0,0)</f>
        <v>0</v>
      </c>
      <c r="Z523">
        <f>IF(Source!BI241=3,I522-0,0)</f>
        <v>0</v>
      </c>
      <c r="AA523">
        <f>IF(Source!BI241=4,I522,0)</f>
        <v>0</v>
      </c>
    </row>
    <row r="525" spans="1:22" ht="57">
      <c r="A525" s="40" t="str">
        <f>Source!E242</f>
        <v>46</v>
      </c>
      <c r="B525" s="41" t="str">
        <f>Source!F242</f>
        <v>1.1-1-1836</v>
      </c>
      <c r="C525" s="41" t="str">
        <f>Source!G242</f>
        <v>ЭМУЛЬСИЯ ПОЛИМЕРНО-АНИОНОВАЯ ДЛЯ СГУЩЕНИЯ СМЕСИ, МАРКА 'EZ-MUD' (ФИРМА 'BAROID')</v>
      </c>
      <c r="D525" s="42" t="str">
        <f>Source!H242</f>
        <v>кг</v>
      </c>
      <c r="E525" s="10">
        <f>Source!I242</f>
        <v>2925.4</v>
      </c>
      <c r="F525" s="44">
        <f>Source!AL242</f>
        <v>109.63</v>
      </c>
      <c r="G525" s="43">
        <f>Source!DD242</f>
      </c>
      <c r="H525" s="10">
        <f>Source!AW242</f>
        <v>1</v>
      </c>
      <c r="I525" s="45">
        <f>ROUND((Source!AC242*Source!AW242)*Source!I242,2)</f>
        <v>320711.6</v>
      </c>
      <c r="J525" s="10">
        <f>IF(Source!BC242&lt;&gt;0,Source!BC242,1)</f>
        <v>13.52</v>
      </c>
      <c r="K525" s="45">
        <f>Source!P242</f>
        <v>4336020.86</v>
      </c>
      <c r="Q525">
        <f>ROUND((Source!DN242/100)*ROUND((Source!AF242*Source!AV242)*Source!I242,2),2)</f>
        <v>0</v>
      </c>
      <c r="R525">
        <f>Source!X242</f>
        <v>0</v>
      </c>
      <c r="S525">
        <f>ROUND((Source!DO242/100)*ROUND((Source!AF242*Source!AV242)*Source!I242,2),2)</f>
        <v>0</v>
      </c>
      <c r="T525">
        <f>Source!Y242</f>
        <v>0</v>
      </c>
      <c r="U525">
        <f>ROUND((175/100)*ROUND((Source!AE242*Source!AV242)*Source!I242,2),2)</f>
        <v>0</v>
      </c>
      <c r="V525">
        <f>ROUND((167/100)*ROUND(Source!CS242*Source!I242,2),2)</f>
        <v>0</v>
      </c>
    </row>
    <row r="526" spans="1:27" ht="15">
      <c r="A526" s="51"/>
      <c r="B526" s="51"/>
      <c r="C526" s="52" t="s">
        <v>564</v>
      </c>
      <c r="D526" s="51"/>
      <c r="E526" s="51"/>
      <c r="F526" s="51"/>
      <c r="G526" s="51"/>
      <c r="H526" s="53">
        <f>I525</f>
        <v>320711.6</v>
      </c>
      <c r="I526" s="53"/>
      <c r="J526" s="53">
        <f>K525</f>
        <v>4336020.86</v>
      </c>
      <c r="K526" s="53"/>
      <c r="O526" s="48">
        <f>H526</f>
        <v>320711.6</v>
      </c>
      <c r="P526" s="48">
        <f>J526</f>
        <v>4336020.86</v>
      </c>
      <c r="X526">
        <f>IF(Source!BI242&lt;=1,I525-0,0)</f>
        <v>320711.6</v>
      </c>
      <c r="Y526">
        <f>IF(Source!BI242=2,I525-0,0)</f>
        <v>0</v>
      </c>
      <c r="Z526">
        <f>IF(Source!BI242=3,I525-0,0)</f>
        <v>0</v>
      </c>
      <c r="AA526">
        <f>IF(Source!BI242=4,I525,0)</f>
        <v>0</v>
      </c>
    </row>
    <row r="528" spans="1:22" ht="54">
      <c r="A528" s="40" t="str">
        <f>Source!E243</f>
        <v>47</v>
      </c>
      <c r="B528" s="41" t="str">
        <f>Source!F243</f>
        <v>прайс</v>
      </c>
      <c r="C528" s="41" t="s">
        <v>588</v>
      </c>
      <c r="D528" s="42" t="str">
        <f>Source!H243</f>
        <v>м</v>
      </c>
      <c r="E528" s="10">
        <f>Source!I243</f>
        <v>1415</v>
      </c>
      <c r="F528" s="44">
        <f>Source!AL243</f>
        <v>1491.53</v>
      </c>
      <c r="G528" s="43">
        <f>Source!DD243</f>
      </c>
      <c r="H528" s="10">
        <f>Source!AW243</f>
        <v>1.003</v>
      </c>
      <c r="I528" s="45">
        <f>ROUND((Source!AC243*Source!AW243)*Source!I243,2)</f>
        <v>2116846.49</v>
      </c>
      <c r="J528" s="10">
        <f>IF(Source!BC243&lt;&gt;0,Source!BC243,1)</f>
        <v>1</v>
      </c>
      <c r="K528" s="45">
        <f>Source!P243</f>
        <v>2116846.49</v>
      </c>
      <c r="Q528">
        <f>ROUND((Source!DN243/100)*ROUND((Source!AF243*Source!AV243)*Source!I243,2),2)</f>
        <v>0</v>
      </c>
      <c r="R528">
        <f>Source!X243</f>
        <v>0</v>
      </c>
      <c r="S528">
        <f>ROUND((Source!DO243/100)*ROUND((Source!AF243*Source!AV243)*Source!I243,2),2)</f>
        <v>0</v>
      </c>
      <c r="T528">
        <f>Source!Y243</f>
        <v>0</v>
      </c>
      <c r="U528">
        <f>ROUND((175/100)*ROUND((Source!AE243*Source!AV243)*Source!I243,2),2)</f>
        <v>0</v>
      </c>
      <c r="V528">
        <f>ROUND((167/100)*ROUND(Source!CS243*Source!I243,2),2)</f>
        <v>0</v>
      </c>
    </row>
    <row r="529" spans="1:27" ht="15">
      <c r="A529" s="51"/>
      <c r="B529" s="51"/>
      <c r="C529" s="52" t="s">
        <v>564</v>
      </c>
      <c r="D529" s="51"/>
      <c r="E529" s="51"/>
      <c r="F529" s="51"/>
      <c r="G529" s="51"/>
      <c r="H529" s="53">
        <f>I528</f>
        <v>2116846.49</v>
      </c>
      <c r="I529" s="53"/>
      <c r="J529" s="53">
        <f>K528</f>
        <v>2116846.49</v>
      </c>
      <c r="K529" s="53"/>
      <c r="O529" s="48">
        <f>H529</f>
        <v>2116846.49</v>
      </c>
      <c r="P529" s="48">
        <f>J529</f>
        <v>2116846.49</v>
      </c>
      <c r="X529">
        <f>IF(Source!BI243&lt;=1,I528-0,0)</f>
        <v>2116846.49</v>
      </c>
      <c r="Y529">
        <f>IF(Source!BI243=2,I528-0,0)</f>
        <v>0</v>
      </c>
      <c r="Z529">
        <f>IF(Source!BI243=3,I528-0,0)</f>
        <v>0</v>
      </c>
      <c r="AA529">
        <f>IF(Source!BI243=4,I528,0)</f>
        <v>0</v>
      </c>
    </row>
    <row r="531" spans="1:22" ht="57">
      <c r="A531" s="40" t="str">
        <f>Source!E244</f>
        <v>48</v>
      </c>
      <c r="B531" s="41" t="s">
        <v>589</v>
      </c>
      <c r="C531" s="41" t="str">
        <f>Source!G244</f>
        <v>ДЕМОНТАЖ УСТАНОВКИ ГОРИЗОНТАЛЬНО НАПРАВЛЕННОГО БУРЕНИЯ С ТЯГОВЫМ УСИЛИЕМ ДО 200 КН</v>
      </c>
      <c r="D531" s="42" t="str">
        <f>Source!H244</f>
        <v>шт.</v>
      </c>
      <c r="E531" s="10">
        <f>Source!I244</f>
        <v>3</v>
      </c>
      <c r="F531" s="44"/>
      <c r="G531" s="43"/>
      <c r="H531" s="10"/>
      <c r="I531" s="45"/>
      <c r="J531" s="10"/>
      <c r="K531" s="45"/>
      <c r="Q531">
        <f>ROUND((Source!DN244/100)*ROUND((Source!AF244*Source!AV244)*Source!I244,2),2)</f>
        <v>17.66</v>
      </c>
      <c r="R531">
        <f>Source!X244</f>
        <v>287.62</v>
      </c>
      <c r="S531">
        <f>ROUND((Source!DO244/100)*ROUND((Source!AF244*Source!AV244)*Source!I244,2),2)</f>
        <v>18.72</v>
      </c>
      <c r="T531">
        <f>Source!Y244</f>
        <v>181.28</v>
      </c>
      <c r="U531">
        <f>ROUND((175/100)*ROUND((Source!AE244*Source!AV244)*Source!I244,2),2)</f>
        <v>95.64</v>
      </c>
      <c r="V531">
        <f>ROUND((167/100)*ROUND(Source!CS244*Source!I244,2),2)</f>
        <v>1861.88</v>
      </c>
    </row>
    <row r="532" spans="1:23" ht="14.25">
      <c r="A532" s="40"/>
      <c r="B532" s="41"/>
      <c r="C532" s="41" t="s">
        <v>554</v>
      </c>
      <c r="D532" s="42"/>
      <c r="E532" s="10"/>
      <c r="F532" s="44">
        <f>Source!AO244</f>
        <v>3.28</v>
      </c>
      <c r="G532" s="43" t="str">
        <f>Source!DG244</f>
        <v>)*1,15</v>
      </c>
      <c r="H532" s="10">
        <f>Source!AV244</f>
        <v>1.047</v>
      </c>
      <c r="I532" s="45">
        <f>ROUND((Source!AF244*Source!AV244)*Source!I244,2)</f>
        <v>11.85</v>
      </c>
      <c r="J532" s="10">
        <f>IF(Source!BA244&lt;&gt;0,Source!BA244,1)</f>
        <v>20.4</v>
      </c>
      <c r="K532" s="45">
        <f>Source!S244</f>
        <v>241.7</v>
      </c>
      <c r="W532">
        <f>ROUND((Source!AF244*Source!AV244)*Source!I244,2)</f>
        <v>11.85</v>
      </c>
    </row>
    <row r="533" spans="1:11" ht="14.25">
      <c r="A533" s="40"/>
      <c r="B533" s="41"/>
      <c r="C533" s="41" t="s">
        <v>555</v>
      </c>
      <c r="D533" s="42"/>
      <c r="E533" s="10"/>
      <c r="F533" s="44">
        <f>Source!AM244</f>
        <v>244.93</v>
      </c>
      <c r="G533" s="43" t="str">
        <f>Source!DE244</f>
        <v>)*1,15</v>
      </c>
      <c r="H533" s="10">
        <f>Source!AV244</f>
        <v>1.047</v>
      </c>
      <c r="I533" s="45">
        <f>ROUND((((((Source!ET244*1.15))-((Source!EU244*1.15)))+Source!AE244)*Source!AV244)*Source!I244,2)</f>
        <v>884.72</v>
      </c>
      <c r="J533" s="10">
        <f>IF(Source!BB244&lt;&gt;0,Source!BB244,1)</f>
        <v>5.58</v>
      </c>
      <c r="K533" s="45">
        <f>Source!Q244</f>
        <v>4936.76</v>
      </c>
    </row>
    <row r="534" spans="1:23" ht="14.25">
      <c r="A534" s="40"/>
      <c r="B534" s="41"/>
      <c r="C534" s="41" t="s">
        <v>556</v>
      </c>
      <c r="D534" s="42"/>
      <c r="E534" s="10"/>
      <c r="F534" s="44">
        <f>Source!AN244</f>
        <v>15.13</v>
      </c>
      <c r="G534" s="43" t="str">
        <f>Source!DF244</f>
        <v>)*1,15</v>
      </c>
      <c r="H534" s="10">
        <f>Source!AV244</f>
        <v>1.047</v>
      </c>
      <c r="I534" s="47">
        <f>ROUND((Source!AE244*Source!AV244)*Source!I244,2)</f>
        <v>54.65</v>
      </c>
      <c r="J534" s="10">
        <f>IF(Source!BS244&lt;&gt;0,Source!BS244,1)</f>
        <v>20.4</v>
      </c>
      <c r="K534" s="47">
        <f>Source!R244</f>
        <v>1114.9</v>
      </c>
      <c r="W534">
        <f>ROUND((Source!AE244*Source!AV244)*Source!I244,2)</f>
        <v>54.65</v>
      </c>
    </row>
    <row r="535" spans="1:11" ht="14.25">
      <c r="A535" s="40"/>
      <c r="B535" s="41"/>
      <c r="C535" s="41" t="s">
        <v>557</v>
      </c>
      <c r="D535" s="42"/>
      <c r="E535" s="10"/>
      <c r="F535" s="44">
        <f>Source!AL244</f>
        <v>0</v>
      </c>
      <c r="G535" s="43">
        <f>Source!DD244</f>
      </c>
      <c r="H535" s="10">
        <f>Source!AW244</f>
        <v>1.079</v>
      </c>
      <c r="I535" s="45">
        <f>ROUND((Source!AC244*Source!AW244)*Source!I244,2)</f>
        <v>0</v>
      </c>
      <c r="J535" s="10">
        <f>IF(Source!BC244&lt;&gt;0,Source!BC244,1)</f>
        <v>1</v>
      </c>
      <c r="K535" s="45">
        <f>Source!P244</f>
        <v>0</v>
      </c>
    </row>
    <row r="536" spans="1:11" ht="14.25">
      <c r="A536" s="40"/>
      <c r="B536" s="41"/>
      <c r="C536" s="41" t="s">
        <v>558</v>
      </c>
      <c r="D536" s="42" t="s">
        <v>559</v>
      </c>
      <c r="E536" s="10">
        <f>Source!DN244</f>
        <v>149</v>
      </c>
      <c r="F536" s="44"/>
      <c r="G536" s="43"/>
      <c r="H536" s="10"/>
      <c r="I536" s="45">
        <f>SUM(Q531:Q535)</f>
        <v>17.66</v>
      </c>
      <c r="J536" s="10">
        <f>Source!BZ244</f>
        <v>119</v>
      </c>
      <c r="K536" s="45">
        <f>SUM(R531:R535)</f>
        <v>287.62</v>
      </c>
    </row>
    <row r="537" spans="1:11" ht="14.25">
      <c r="A537" s="40"/>
      <c r="B537" s="41"/>
      <c r="C537" s="41" t="s">
        <v>560</v>
      </c>
      <c r="D537" s="42" t="s">
        <v>559</v>
      </c>
      <c r="E537" s="10">
        <f>Source!DO244</f>
        <v>158</v>
      </c>
      <c r="F537" s="44"/>
      <c r="G537" s="43"/>
      <c r="H537" s="10"/>
      <c r="I537" s="45">
        <f>SUM(S531:S536)</f>
        <v>18.72</v>
      </c>
      <c r="J537" s="10">
        <f>Source!CA244</f>
        <v>75</v>
      </c>
      <c r="K537" s="45">
        <f>SUM(T531:T536)</f>
        <v>181.28</v>
      </c>
    </row>
    <row r="538" spans="1:11" ht="14.25">
      <c r="A538" s="40"/>
      <c r="B538" s="41"/>
      <c r="C538" s="41" t="s">
        <v>561</v>
      </c>
      <c r="D538" s="42" t="s">
        <v>559</v>
      </c>
      <c r="E538" s="10">
        <f>175</f>
        <v>175</v>
      </c>
      <c r="F538" s="44"/>
      <c r="G538" s="43"/>
      <c r="H538" s="10"/>
      <c r="I538" s="45">
        <f>SUM(U531:U537)</f>
        <v>95.64</v>
      </c>
      <c r="J538" s="10">
        <f>167</f>
        <v>167</v>
      </c>
      <c r="K538" s="45">
        <f>SUM(V531:V537)</f>
        <v>1861.88</v>
      </c>
    </row>
    <row r="539" spans="1:28" ht="14.25">
      <c r="A539" s="40"/>
      <c r="B539" s="41"/>
      <c r="C539" s="41" t="s">
        <v>562</v>
      </c>
      <c r="D539" s="42" t="s">
        <v>563</v>
      </c>
      <c r="E539" s="10">
        <f>Source!AQ244</f>
        <v>0.26</v>
      </c>
      <c r="F539" s="44"/>
      <c r="G539" s="43" t="str">
        <f>Source!DI244</f>
        <v>)*1,15</v>
      </c>
      <c r="H539" s="10">
        <f>Source!AV244</f>
        <v>1.047</v>
      </c>
      <c r="I539" s="45">
        <f>Source!U244</f>
        <v>0.9391589999999999</v>
      </c>
      <c r="J539" s="10"/>
      <c r="K539" s="45"/>
      <c r="AB539" s="48">
        <f>I539</f>
        <v>0.9391589999999999</v>
      </c>
    </row>
    <row r="540" spans="1:27" ht="15">
      <c r="A540" s="51"/>
      <c r="B540" s="51"/>
      <c r="C540" s="52" t="s">
        <v>564</v>
      </c>
      <c r="D540" s="51"/>
      <c r="E540" s="51"/>
      <c r="F540" s="51"/>
      <c r="G540" s="51"/>
      <c r="H540" s="53">
        <f>I532+I533+I535+I536+I537+I538</f>
        <v>1028.5900000000001</v>
      </c>
      <c r="I540" s="53"/>
      <c r="J540" s="53">
        <f>K532+K533+K535+K536+K537+K538</f>
        <v>7509.24</v>
      </c>
      <c r="K540" s="53"/>
      <c r="O540" s="48">
        <f>H540</f>
        <v>1028.5900000000001</v>
      </c>
      <c r="P540" s="48">
        <f>J540</f>
        <v>7509.24</v>
      </c>
      <c r="X540">
        <f>IF(Source!BI244&lt;=1,I532+I533+I535+I536+I537+I538-0,0)</f>
        <v>1028.5900000000001</v>
      </c>
      <c r="Y540">
        <f>IF(Source!BI244=2,I532+I533+I535+I536+I537+I538-0,0)</f>
        <v>0</v>
      </c>
      <c r="Z540">
        <f>IF(Source!BI244=3,I532+I533+I535+I536+I537+I538-0,0)</f>
        <v>0</v>
      </c>
      <c r="AA540">
        <f>IF(Source!BI244=4,I532+I533+I535+I536+I537+I538,0)</f>
        <v>0</v>
      </c>
    </row>
    <row r="542" spans="1:22" ht="65.25">
      <c r="A542" s="40" t="str">
        <f>Source!E245</f>
        <v>49</v>
      </c>
      <c r="B542" s="41" t="s">
        <v>580</v>
      </c>
      <c r="C542" s="41" t="str">
        <f>Source!G245</f>
        <v>УПЛОТНИТЕЛЬ КАБЕЛЬНОГО ПРОХОДА ТЕРМОУСАЖИВАЕМЫЙ</v>
      </c>
      <c r="D542" s="42" t="str">
        <f>Source!H245</f>
        <v>100 компл.</v>
      </c>
      <c r="E542" s="10">
        <f>Source!I245</f>
        <v>0.06</v>
      </c>
      <c r="F542" s="44"/>
      <c r="G542" s="43"/>
      <c r="H542" s="10"/>
      <c r="I542" s="45"/>
      <c r="J542" s="10"/>
      <c r="K542" s="45"/>
      <c r="Q542">
        <f>ROUND((Source!DN245/100)*ROUND((Source!AF245*Source!AV245)*Source!I245,2),2)</f>
        <v>173.68</v>
      </c>
      <c r="R542">
        <f>Source!X245</f>
        <v>2847.02</v>
      </c>
      <c r="S542">
        <f>ROUND((Source!DO245/100)*ROUND((Source!AF245*Source!AV245)*Source!I245,2),2)</f>
        <v>108.55</v>
      </c>
      <c r="T542">
        <f>Source!Y245</f>
        <v>1360.24</v>
      </c>
      <c r="U542">
        <f>ROUND((175/100)*ROUND((Source!AE245*Source!AV245)*Source!I245,2),2)</f>
        <v>7.84</v>
      </c>
      <c r="V542">
        <f>ROUND((167/100)*ROUND(Source!CS245*Source!I245,2),2)</f>
        <v>152.62</v>
      </c>
    </row>
    <row r="543" ht="12.75">
      <c r="C543" s="46" t="str">
        <f>"Объем: "&amp;Source!I245&amp;"=6/"&amp;"100"</f>
        <v>Объем: 0,06=6/100</v>
      </c>
    </row>
    <row r="544" spans="1:23" ht="14.25">
      <c r="A544" s="40"/>
      <c r="B544" s="41"/>
      <c r="C544" s="41" t="s">
        <v>554</v>
      </c>
      <c r="D544" s="42"/>
      <c r="E544" s="10"/>
      <c r="F544" s="44">
        <f>Source!AO245</f>
        <v>2146.46</v>
      </c>
      <c r="G544" s="43" t="str">
        <f>Source!DG245</f>
        <v>)*1,15</v>
      </c>
      <c r="H544" s="10">
        <f>Source!AV245</f>
        <v>1.047</v>
      </c>
      <c r="I544" s="45">
        <f>ROUND((Source!AF245*Source!AV245)*Source!I245,2)</f>
        <v>155.07</v>
      </c>
      <c r="J544" s="10">
        <f>IF(Source!BA245&lt;&gt;0,Source!BA245,1)</f>
        <v>20.4</v>
      </c>
      <c r="K544" s="45">
        <f>Source!S245</f>
        <v>3163.36</v>
      </c>
      <c r="W544">
        <f>ROUND((Source!AF245*Source!AV245)*Source!I245,2)</f>
        <v>155.07</v>
      </c>
    </row>
    <row r="545" spans="1:11" ht="14.25">
      <c r="A545" s="40"/>
      <c r="B545" s="41"/>
      <c r="C545" s="41" t="s">
        <v>555</v>
      </c>
      <c r="D545" s="42"/>
      <c r="E545" s="10"/>
      <c r="F545" s="44">
        <f>Source!AM245</f>
        <v>715.22</v>
      </c>
      <c r="G545" s="43" t="str">
        <f>Source!DE245</f>
        <v>)*1,15</v>
      </c>
      <c r="H545" s="10">
        <f>Source!AV245</f>
        <v>1.047</v>
      </c>
      <c r="I545" s="45">
        <f>ROUND((((((Source!ET245*1.15))-((Source!EU245*1.15)))+Source!AE245)*Source!AV245)*Source!I245,2)</f>
        <v>51.67</v>
      </c>
      <c r="J545" s="10">
        <f>IF(Source!BB245&lt;&gt;0,Source!BB245,1)</f>
        <v>6.71</v>
      </c>
      <c r="K545" s="45">
        <f>Source!Q245</f>
        <v>346.7</v>
      </c>
    </row>
    <row r="546" spans="1:23" ht="14.25">
      <c r="A546" s="40"/>
      <c r="B546" s="41"/>
      <c r="C546" s="41" t="s">
        <v>556</v>
      </c>
      <c r="D546" s="42"/>
      <c r="E546" s="10"/>
      <c r="F546" s="44">
        <f>Source!AN245</f>
        <v>62.01</v>
      </c>
      <c r="G546" s="43" t="str">
        <f>Source!DF245</f>
        <v>)*1,15</v>
      </c>
      <c r="H546" s="10">
        <f>Source!AV245</f>
        <v>1.047</v>
      </c>
      <c r="I546" s="47">
        <f>ROUND((Source!AE245*Source!AV245)*Source!I245,2)</f>
        <v>4.48</v>
      </c>
      <c r="J546" s="10">
        <f>IF(Source!BS245&lt;&gt;0,Source!BS245,1)</f>
        <v>20.4</v>
      </c>
      <c r="K546" s="47">
        <f>Source!R245</f>
        <v>91.39</v>
      </c>
      <c r="W546">
        <f>ROUND((Source!AE245*Source!AV245)*Source!I245,2)</f>
        <v>4.48</v>
      </c>
    </row>
    <row r="547" spans="1:11" ht="14.25">
      <c r="A547" s="40"/>
      <c r="B547" s="41"/>
      <c r="C547" s="41" t="s">
        <v>557</v>
      </c>
      <c r="D547" s="42"/>
      <c r="E547" s="10"/>
      <c r="F547" s="44">
        <f>Source!AL245</f>
        <v>519.45</v>
      </c>
      <c r="G547" s="43">
        <f>Source!DD245</f>
      </c>
      <c r="H547" s="10">
        <f>Source!AW245</f>
        <v>1</v>
      </c>
      <c r="I547" s="45">
        <f>ROUND((Source!AC245*Source!AW245)*Source!I245,2)</f>
        <v>31.17</v>
      </c>
      <c r="J547" s="10">
        <f>IF(Source!BC245&lt;&gt;0,Source!BC245,1)</f>
        <v>5.23</v>
      </c>
      <c r="K547" s="45">
        <f>Source!P245</f>
        <v>163</v>
      </c>
    </row>
    <row r="548" spans="1:11" ht="14.25">
      <c r="A548" s="40"/>
      <c r="B548" s="41"/>
      <c r="C548" s="41" t="s">
        <v>558</v>
      </c>
      <c r="D548" s="42" t="s">
        <v>559</v>
      </c>
      <c r="E548" s="10">
        <f>Source!DN245</f>
        <v>112</v>
      </c>
      <c r="F548" s="44"/>
      <c r="G548" s="43"/>
      <c r="H548" s="10"/>
      <c r="I548" s="45">
        <f>SUM(Q542:Q547)</f>
        <v>173.68</v>
      </c>
      <c r="J548" s="10">
        <f>Source!BZ245</f>
        <v>90</v>
      </c>
      <c r="K548" s="45">
        <f>SUM(R542:R547)</f>
        <v>2847.02</v>
      </c>
    </row>
    <row r="549" spans="1:11" ht="14.25">
      <c r="A549" s="40"/>
      <c r="B549" s="41"/>
      <c r="C549" s="41" t="s">
        <v>560</v>
      </c>
      <c r="D549" s="42" t="s">
        <v>559</v>
      </c>
      <c r="E549" s="10">
        <f>Source!DO245</f>
        <v>70</v>
      </c>
      <c r="F549" s="44"/>
      <c r="G549" s="43"/>
      <c r="H549" s="10"/>
      <c r="I549" s="45">
        <f>SUM(S542:S548)</f>
        <v>108.55</v>
      </c>
      <c r="J549" s="10">
        <f>Source!CA245</f>
        <v>43</v>
      </c>
      <c r="K549" s="45">
        <f>SUM(T542:T548)</f>
        <v>1360.24</v>
      </c>
    </row>
    <row r="550" spans="1:11" ht="14.25">
      <c r="A550" s="40"/>
      <c r="B550" s="41"/>
      <c r="C550" s="41" t="s">
        <v>561</v>
      </c>
      <c r="D550" s="42" t="s">
        <v>559</v>
      </c>
      <c r="E550" s="10">
        <f>175</f>
        <v>175</v>
      </c>
      <c r="F550" s="44"/>
      <c r="G550" s="43"/>
      <c r="H550" s="10"/>
      <c r="I550" s="45">
        <f>SUM(U542:U549)</f>
        <v>7.84</v>
      </c>
      <c r="J550" s="10">
        <f>167</f>
        <v>167</v>
      </c>
      <c r="K550" s="45">
        <f>SUM(V542:V549)</f>
        <v>152.62</v>
      </c>
    </row>
    <row r="551" spans="1:28" ht="14.25">
      <c r="A551" s="40"/>
      <c r="B551" s="41"/>
      <c r="C551" s="41" t="s">
        <v>562</v>
      </c>
      <c r="D551" s="42" t="s">
        <v>563</v>
      </c>
      <c r="E551" s="10">
        <f>Source!AQ245</f>
        <v>155.89</v>
      </c>
      <c r="F551" s="44"/>
      <c r="G551" s="43" t="str">
        <f>Source!DI245</f>
        <v>)*1,15</v>
      </c>
      <c r="H551" s="10">
        <f>Source!AV245</f>
        <v>1.047</v>
      </c>
      <c r="I551" s="45">
        <f>Source!U245</f>
        <v>11.261961269999997</v>
      </c>
      <c r="J551" s="10"/>
      <c r="K551" s="45"/>
      <c r="AB551" s="48">
        <f>I551</f>
        <v>11.261961269999997</v>
      </c>
    </row>
    <row r="552" spans="1:27" ht="15">
      <c r="A552" s="51"/>
      <c r="B552" s="51"/>
      <c r="C552" s="52" t="s">
        <v>564</v>
      </c>
      <c r="D552" s="51"/>
      <c r="E552" s="51"/>
      <c r="F552" s="51"/>
      <c r="G552" s="51"/>
      <c r="H552" s="53">
        <f>I544+I545+I547+I548+I549+I550</f>
        <v>527.98</v>
      </c>
      <c r="I552" s="53"/>
      <c r="J552" s="53">
        <f>K544+K545+K547+K548+K549+K550</f>
        <v>8032.94</v>
      </c>
      <c r="K552" s="53"/>
      <c r="O552" s="48">
        <f>H552</f>
        <v>527.98</v>
      </c>
      <c r="P552" s="48">
        <f>J552</f>
        <v>8032.94</v>
      </c>
      <c r="X552">
        <f>IF(Source!BI245&lt;=1,I544+I545+I547+I548+I549+I550-0,0)</f>
        <v>0</v>
      </c>
      <c r="Y552">
        <f>IF(Source!BI245=2,I544+I545+I547+I548+I549+I550-0,0)</f>
        <v>527.98</v>
      </c>
      <c r="Z552">
        <f>IF(Source!BI245=3,I544+I545+I547+I548+I549+I550-0,0)</f>
        <v>0</v>
      </c>
      <c r="AA552">
        <f>IF(Source!BI245=4,I544+I545+I547+I548+I549+I550,0)</f>
        <v>0</v>
      </c>
    </row>
    <row r="554" spans="1:22" ht="27">
      <c r="A554" s="40" t="str">
        <f>Source!E246</f>
        <v>50</v>
      </c>
      <c r="B554" s="41" t="str">
        <f>Source!F246</f>
        <v>прайс</v>
      </c>
      <c r="C554" s="41" t="s">
        <v>581</v>
      </c>
      <c r="D554" s="42" t="str">
        <f>Source!H246</f>
        <v>ШТ</v>
      </c>
      <c r="E554" s="10">
        <f>Source!I246</f>
        <v>6</v>
      </c>
      <c r="F554" s="44">
        <f>Source!AL246</f>
        <v>669.49</v>
      </c>
      <c r="G554" s="43">
        <f>Source!DD246</f>
      </c>
      <c r="H554" s="10">
        <f>Source!AW246</f>
        <v>1</v>
      </c>
      <c r="I554" s="45">
        <f>ROUND((Source!AC246*Source!AW246)*Source!I246,2)</f>
        <v>4016.94</v>
      </c>
      <c r="J554" s="10">
        <f>IF(Source!BC246&lt;&gt;0,Source!BC246,1)</f>
        <v>1</v>
      </c>
      <c r="K554" s="45">
        <f>Source!P246</f>
        <v>4016.94</v>
      </c>
      <c r="Q554">
        <f>ROUND((Source!DN246/100)*ROUND((Source!AF246*Source!AV246)*Source!I246,2),2)</f>
        <v>0</v>
      </c>
      <c r="R554">
        <f>Source!X246</f>
        <v>0</v>
      </c>
      <c r="S554">
        <f>ROUND((Source!DO246/100)*ROUND((Source!AF246*Source!AV246)*Source!I246,2),2)</f>
        <v>0</v>
      </c>
      <c r="T554">
        <f>Source!Y246</f>
        <v>0</v>
      </c>
      <c r="U554">
        <f>ROUND((175/100)*ROUND((Source!AE246*Source!AV246)*Source!I246,2),2)</f>
        <v>0</v>
      </c>
      <c r="V554">
        <f>ROUND((167/100)*ROUND(Source!CS246*Source!I246,2),2)</f>
        <v>0</v>
      </c>
    </row>
    <row r="555" spans="1:27" ht="15">
      <c r="A555" s="51"/>
      <c r="B555" s="51"/>
      <c r="C555" s="52" t="s">
        <v>564</v>
      </c>
      <c r="D555" s="51"/>
      <c r="E555" s="51"/>
      <c r="F555" s="51"/>
      <c r="G555" s="51"/>
      <c r="H555" s="53">
        <f>I554</f>
        <v>4016.94</v>
      </c>
      <c r="I555" s="53"/>
      <c r="J555" s="53">
        <f>K554</f>
        <v>4016.94</v>
      </c>
      <c r="K555" s="53"/>
      <c r="O555" s="48">
        <f>H555</f>
        <v>4016.94</v>
      </c>
      <c r="P555" s="48">
        <f>J555</f>
        <v>4016.94</v>
      </c>
      <c r="X555">
        <f>IF(Source!BI246&lt;=1,I554-0,0)</f>
        <v>0</v>
      </c>
      <c r="Y555">
        <f>IF(Source!BI246=2,I554-0,0)</f>
        <v>4016.94</v>
      </c>
      <c r="Z555">
        <f>IF(Source!BI246=3,I554-0,0)</f>
        <v>0</v>
      </c>
      <c r="AA555">
        <f>IF(Source!BI246=4,I554,0)</f>
        <v>0</v>
      </c>
    </row>
    <row r="557" spans="1:22" ht="65.25">
      <c r="A557" s="40" t="str">
        <f>Source!E247</f>
        <v>51</v>
      </c>
      <c r="B557" s="41" t="s">
        <v>580</v>
      </c>
      <c r="C557" s="41" t="str">
        <f>Source!G247</f>
        <v>УПЛОТНИТЕЛЬ КАБЕЛЬНОГО ПРОХОДА ТЕРМОУСАЖИВАЕМЫЙ</v>
      </c>
      <c r="D557" s="42" t="str">
        <f>Source!H247</f>
        <v>100 компл.</v>
      </c>
      <c r="E557" s="10">
        <f>Source!I247</f>
        <v>0.06</v>
      </c>
      <c r="F557" s="44"/>
      <c r="G557" s="43"/>
      <c r="H557" s="10"/>
      <c r="I557" s="45"/>
      <c r="J557" s="10"/>
      <c r="K557" s="45"/>
      <c r="Q557">
        <f>ROUND((Source!DN247/100)*ROUND((Source!AF247*Source!AV247)*Source!I247,2),2)</f>
        <v>173.68</v>
      </c>
      <c r="R557">
        <f>Source!X247</f>
        <v>2847.02</v>
      </c>
      <c r="S557">
        <f>ROUND((Source!DO247/100)*ROUND((Source!AF247*Source!AV247)*Source!I247,2),2)</f>
        <v>108.55</v>
      </c>
      <c r="T557">
        <f>Source!Y247</f>
        <v>1360.24</v>
      </c>
      <c r="U557">
        <f>ROUND((175/100)*ROUND((Source!AE247*Source!AV247)*Source!I247,2),2)</f>
        <v>7.84</v>
      </c>
      <c r="V557">
        <f>ROUND((167/100)*ROUND(Source!CS247*Source!I247,2),2)</f>
        <v>152.62</v>
      </c>
    </row>
    <row r="558" ht="12.75">
      <c r="C558" s="46" t="str">
        <f>"Объем: "&amp;Source!I247&amp;"=6/"&amp;"100"</f>
        <v>Объем: 0,06=6/100</v>
      </c>
    </row>
    <row r="559" spans="1:23" ht="14.25">
      <c r="A559" s="40"/>
      <c r="B559" s="41"/>
      <c r="C559" s="41" t="s">
        <v>554</v>
      </c>
      <c r="D559" s="42"/>
      <c r="E559" s="10"/>
      <c r="F559" s="44">
        <f>Source!AO247</f>
        <v>2146.46</v>
      </c>
      <c r="G559" s="43" t="str">
        <f>Source!DG247</f>
        <v>)*1,15</v>
      </c>
      <c r="H559" s="10">
        <f>Source!AV247</f>
        <v>1.047</v>
      </c>
      <c r="I559" s="45">
        <f>ROUND((Source!AF247*Source!AV247)*Source!I247,2)</f>
        <v>155.07</v>
      </c>
      <c r="J559" s="10">
        <f>IF(Source!BA247&lt;&gt;0,Source!BA247,1)</f>
        <v>20.4</v>
      </c>
      <c r="K559" s="45">
        <f>Source!S247</f>
        <v>3163.36</v>
      </c>
      <c r="W559">
        <f>ROUND((Source!AF247*Source!AV247)*Source!I247,2)</f>
        <v>155.07</v>
      </c>
    </row>
    <row r="560" spans="1:11" ht="14.25">
      <c r="A560" s="40"/>
      <c r="B560" s="41"/>
      <c r="C560" s="41" t="s">
        <v>555</v>
      </c>
      <c r="D560" s="42"/>
      <c r="E560" s="10"/>
      <c r="F560" s="44">
        <f>Source!AM247</f>
        <v>715.22</v>
      </c>
      <c r="G560" s="43" t="str">
        <f>Source!DE247</f>
        <v>)*1,15</v>
      </c>
      <c r="H560" s="10">
        <f>Source!AV247</f>
        <v>1.047</v>
      </c>
      <c r="I560" s="45">
        <f>ROUND((((((Source!ET247*1.15))-((Source!EU247*1.15)))+Source!AE247)*Source!AV247)*Source!I247,2)</f>
        <v>51.67</v>
      </c>
      <c r="J560" s="10">
        <f>IF(Source!BB247&lt;&gt;0,Source!BB247,1)</f>
        <v>6.71</v>
      </c>
      <c r="K560" s="45">
        <f>Source!Q247</f>
        <v>346.7</v>
      </c>
    </row>
    <row r="561" spans="1:23" ht="14.25">
      <c r="A561" s="40"/>
      <c r="B561" s="41"/>
      <c r="C561" s="41" t="s">
        <v>556</v>
      </c>
      <c r="D561" s="42"/>
      <c r="E561" s="10"/>
      <c r="F561" s="44">
        <f>Source!AN247</f>
        <v>62.01</v>
      </c>
      <c r="G561" s="43" t="str">
        <f>Source!DF247</f>
        <v>)*1,15</v>
      </c>
      <c r="H561" s="10">
        <f>Source!AV247</f>
        <v>1.047</v>
      </c>
      <c r="I561" s="47">
        <f>ROUND((Source!AE247*Source!AV247)*Source!I247,2)</f>
        <v>4.48</v>
      </c>
      <c r="J561" s="10">
        <f>IF(Source!BS247&lt;&gt;0,Source!BS247,1)</f>
        <v>20.4</v>
      </c>
      <c r="K561" s="47">
        <f>Source!R247</f>
        <v>91.39</v>
      </c>
      <c r="W561">
        <f>ROUND((Source!AE247*Source!AV247)*Source!I247,2)</f>
        <v>4.48</v>
      </c>
    </row>
    <row r="562" spans="1:11" ht="14.25">
      <c r="A562" s="40"/>
      <c r="B562" s="41"/>
      <c r="C562" s="41" t="s">
        <v>557</v>
      </c>
      <c r="D562" s="42"/>
      <c r="E562" s="10"/>
      <c r="F562" s="44">
        <f>Source!AL247</f>
        <v>519.45</v>
      </c>
      <c r="G562" s="43">
        <f>Source!DD247</f>
      </c>
      <c r="H562" s="10">
        <f>Source!AW247</f>
        <v>1</v>
      </c>
      <c r="I562" s="45">
        <f>ROUND((Source!AC247*Source!AW247)*Source!I247,2)</f>
        <v>31.17</v>
      </c>
      <c r="J562" s="10">
        <f>IF(Source!BC247&lt;&gt;0,Source!BC247,1)</f>
        <v>5.23</v>
      </c>
      <c r="K562" s="45">
        <f>Source!P247</f>
        <v>163</v>
      </c>
    </row>
    <row r="563" spans="1:11" ht="14.25">
      <c r="A563" s="40"/>
      <c r="B563" s="41"/>
      <c r="C563" s="41" t="s">
        <v>558</v>
      </c>
      <c r="D563" s="42" t="s">
        <v>559</v>
      </c>
      <c r="E563" s="10">
        <f>Source!DN247</f>
        <v>112</v>
      </c>
      <c r="F563" s="44"/>
      <c r="G563" s="43"/>
      <c r="H563" s="10"/>
      <c r="I563" s="45">
        <f>SUM(Q557:Q562)</f>
        <v>173.68</v>
      </c>
      <c r="J563" s="10">
        <f>Source!BZ247</f>
        <v>90</v>
      </c>
      <c r="K563" s="45">
        <f>SUM(R557:R562)</f>
        <v>2847.02</v>
      </c>
    </row>
    <row r="564" spans="1:11" ht="14.25">
      <c r="A564" s="40"/>
      <c r="B564" s="41"/>
      <c r="C564" s="41" t="s">
        <v>560</v>
      </c>
      <c r="D564" s="42" t="s">
        <v>559</v>
      </c>
      <c r="E564" s="10">
        <f>Source!DO247</f>
        <v>70</v>
      </c>
      <c r="F564" s="44"/>
      <c r="G564" s="43"/>
      <c r="H564" s="10"/>
      <c r="I564" s="45">
        <f>SUM(S557:S563)</f>
        <v>108.55</v>
      </c>
      <c r="J564" s="10">
        <f>Source!CA247</f>
        <v>43</v>
      </c>
      <c r="K564" s="45">
        <f>SUM(T557:T563)</f>
        <v>1360.24</v>
      </c>
    </row>
    <row r="565" spans="1:11" ht="14.25">
      <c r="A565" s="40"/>
      <c r="B565" s="41"/>
      <c r="C565" s="41" t="s">
        <v>561</v>
      </c>
      <c r="D565" s="42" t="s">
        <v>559</v>
      </c>
      <c r="E565" s="10">
        <f>175</f>
        <v>175</v>
      </c>
      <c r="F565" s="44"/>
      <c r="G565" s="43"/>
      <c r="H565" s="10"/>
      <c r="I565" s="45">
        <f>SUM(U557:U564)</f>
        <v>7.84</v>
      </c>
      <c r="J565" s="10">
        <f>167</f>
        <v>167</v>
      </c>
      <c r="K565" s="45">
        <f>SUM(V557:V564)</f>
        <v>152.62</v>
      </c>
    </row>
    <row r="566" spans="1:28" ht="14.25">
      <c r="A566" s="40"/>
      <c r="B566" s="41"/>
      <c r="C566" s="41" t="s">
        <v>562</v>
      </c>
      <c r="D566" s="42" t="s">
        <v>563</v>
      </c>
      <c r="E566" s="10">
        <f>Source!AQ247</f>
        <v>155.89</v>
      </c>
      <c r="F566" s="44"/>
      <c r="G566" s="43" t="str">
        <f>Source!DI247</f>
        <v>)*1,15</v>
      </c>
      <c r="H566" s="10">
        <f>Source!AV247</f>
        <v>1.047</v>
      </c>
      <c r="I566" s="45">
        <f>Source!U247</f>
        <v>11.261961269999997</v>
      </c>
      <c r="J566" s="10"/>
      <c r="K566" s="45"/>
      <c r="AB566" s="48">
        <f>I566</f>
        <v>11.261961269999997</v>
      </c>
    </row>
    <row r="567" spans="1:27" ht="15">
      <c r="A567" s="51"/>
      <c r="B567" s="51"/>
      <c r="C567" s="52" t="s">
        <v>564</v>
      </c>
      <c r="D567" s="51"/>
      <c r="E567" s="51"/>
      <c r="F567" s="51"/>
      <c r="G567" s="51"/>
      <c r="H567" s="53">
        <f>I559+I560+I562+I563+I564+I565</f>
        <v>527.98</v>
      </c>
      <c r="I567" s="53"/>
      <c r="J567" s="53">
        <f>K559+K560+K562+K563+K564+K565</f>
        <v>8032.94</v>
      </c>
      <c r="K567" s="53"/>
      <c r="O567" s="48">
        <f>H567</f>
        <v>527.98</v>
      </c>
      <c r="P567" s="48">
        <f>J567</f>
        <v>8032.94</v>
      </c>
      <c r="X567">
        <f>IF(Source!BI247&lt;=1,I559+I560+I562+I563+I564+I565-0,0)</f>
        <v>0</v>
      </c>
      <c r="Y567">
        <f>IF(Source!BI247=2,I559+I560+I562+I563+I564+I565-0,0)</f>
        <v>527.98</v>
      </c>
      <c r="Z567">
        <f>IF(Source!BI247=3,I559+I560+I562+I563+I564+I565-0,0)</f>
        <v>0</v>
      </c>
      <c r="AA567">
        <f>IF(Source!BI247=4,I559+I560+I562+I563+I564+I565,0)</f>
        <v>0</v>
      </c>
    </row>
    <row r="569" spans="1:22" ht="27">
      <c r="A569" s="40" t="str">
        <f>Source!E248</f>
        <v>52</v>
      </c>
      <c r="B569" s="41" t="str">
        <f>Source!F248</f>
        <v>прайс</v>
      </c>
      <c r="C569" s="41" t="s">
        <v>590</v>
      </c>
      <c r="D569" s="42" t="str">
        <f>Source!H248</f>
        <v>ШТ</v>
      </c>
      <c r="E569" s="10">
        <f>Source!I248</f>
        <v>6</v>
      </c>
      <c r="F569" s="44">
        <f>Source!AL248</f>
        <v>59.32</v>
      </c>
      <c r="G569" s="43">
        <f>Source!DD248</f>
      </c>
      <c r="H569" s="10">
        <f>Source!AW248</f>
        <v>1</v>
      </c>
      <c r="I569" s="45">
        <f>ROUND((Source!AC248*Source!AW248)*Source!I248,2)</f>
        <v>355.92</v>
      </c>
      <c r="J569" s="10">
        <f>IF(Source!BC248&lt;&gt;0,Source!BC248,1)</f>
        <v>1</v>
      </c>
      <c r="K569" s="45">
        <f>Source!P248</f>
        <v>355.92</v>
      </c>
      <c r="Q569">
        <f>ROUND((Source!DN248/100)*ROUND((Source!AF248*Source!AV248)*Source!I248,2),2)</f>
        <v>0</v>
      </c>
      <c r="R569">
        <f>Source!X248</f>
        <v>0</v>
      </c>
      <c r="S569">
        <f>ROUND((Source!DO248/100)*ROUND((Source!AF248*Source!AV248)*Source!I248,2),2)</f>
        <v>0</v>
      </c>
      <c r="T569">
        <f>Source!Y248</f>
        <v>0</v>
      </c>
      <c r="U569">
        <f>ROUND((175/100)*ROUND((Source!AE248*Source!AV248)*Source!I248,2),2)</f>
        <v>0</v>
      </c>
      <c r="V569">
        <f>ROUND((167/100)*ROUND(Source!CS248*Source!I248,2),2)</f>
        <v>0</v>
      </c>
    </row>
    <row r="570" spans="1:27" ht="15">
      <c r="A570" s="51"/>
      <c r="B570" s="51"/>
      <c r="C570" s="52" t="s">
        <v>564</v>
      </c>
      <c r="D570" s="51"/>
      <c r="E570" s="51"/>
      <c r="F570" s="51"/>
      <c r="G570" s="51"/>
      <c r="H570" s="53">
        <f>I569</f>
        <v>355.92</v>
      </c>
      <c r="I570" s="53"/>
      <c r="J570" s="53">
        <f>K569</f>
        <v>355.92</v>
      </c>
      <c r="K570" s="53"/>
      <c r="O570" s="48">
        <f>H570</f>
        <v>355.92</v>
      </c>
      <c r="P570" s="48">
        <f>J570</f>
        <v>355.92</v>
      </c>
      <c r="X570">
        <f>IF(Source!BI248&lt;=1,I569-0,0)</f>
        <v>0</v>
      </c>
      <c r="Y570">
        <f>IF(Source!BI248=2,I569-0,0)</f>
        <v>355.92</v>
      </c>
      <c r="Z570">
        <f>IF(Source!BI248=3,I569-0,0)</f>
        <v>0</v>
      </c>
      <c r="AA570">
        <f>IF(Source!BI248=4,I569,0)</f>
        <v>0</v>
      </c>
    </row>
    <row r="572" spans="1:22" ht="52.5">
      <c r="A572" s="40" t="str">
        <f>Source!E249</f>
        <v>53</v>
      </c>
      <c r="B572" s="41" t="s">
        <v>591</v>
      </c>
      <c r="C572" s="41" t="str">
        <f>Source!G249</f>
        <v>СВАРКА ПОЛИЭТИЛЕНОВЫХ ТРУБ ДИАМЕТРОМ 225ММ</v>
      </c>
      <c r="D572" s="42" t="str">
        <f>Source!H249</f>
        <v>стык</v>
      </c>
      <c r="E572" s="10">
        <f>Source!I249</f>
        <v>115</v>
      </c>
      <c r="F572" s="44"/>
      <c r="G572" s="43"/>
      <c r="H572" s="10"/>
      <c r="I572" s="45"/>
      <c r="J572" s="10"/>
      <c r="K572" s="45"/>
      <c r="Q572">
        <f>ROUND((Source!DN249/100)*ROUND((Source!AF249*Source!AV249)*Source!I249,2),2)</f>
        <v>0</v>
      </c>
      <c r="R572">
        <f>Source!X249</f>
        <v>0</v>
      </c>
      <c r="S572">
        <f>ROUND((Source!DO249/100)*ROUND((Source!AF249*Source!AV249)*Source!I249,2),2)</f>
        <v>0</v>
      </c>
      <c r="T572">
        <f>Source!Y249</f>
        <v>0</v>
      </c>
      <c r="U572">
        <f>ROUND((175/100)*ROUND((Source!AE249*Source!AV249)*Source!I249,2),2)</f>
        <v>143.22</v>
      </c>
      <c r="V572">
        <f>ROUND((167/100)*ROUND(Source!CS249*Source!I249,2),2)</f>
        <v>2788.27</v>
      </c>
    </row>
    <row r="573" spans="1:23" ht="14.25">
      <c r="A573" s="40"/>
      <c r="B573" s="41"/>
      <c r="C573" s="41" t="s">
        <v>554</v>
      </c>
      <c r="D573" s="42"/>
      <c r="E573" s="10"/>
      <c r="F573" s="44">
        <f>Source!AO249</f>
        <v>0</v>
      </c>
      <c r="G573" s="43" t="str">
        <f>Source!DG249</f>
        <v>)*1,15</v>
      </c>
      <c r="H573" s="10">
        <f>Source!AV249</f>
        <v>1.067</v>
      </c>
      <c r="I573" s="45">
        <f>ROUND((Source!AF249*Source!AV249)*Source!I249,2)</f>
        <v>0</v>
      </c>
      <c r="J573" s="10">
        <f>IF(Source!BA249&lt;&gt;0,Source!BA249,1)</f>
        <v>20.4</v>
      </c>
      <c r="K573" s="45">
        <f>Source!S249</f>
        <v>0</v>
      </c>
      <c r="W573">
        <f>ROUND((Source!AF249*Source!AV249)*Source!I249,2)</f>
        <v>0</v>
      </c>
    </row>
    <row r="574" spans="1:11" ht="14.25">
      <c r="A574" s="40"/>
      <c r="B574" s="41"/>
      <c r="C574" s="41" t="s">
        <v>555</v>
      </c>
      <c r="D574" s="42"/>
      <c r="E574" s="10"/>
      <c r="F574" s="44">
        <f>Source!AM249</f>
        <v>25.7</v>
      </c>
      <c r="G574" s="43" t="str">
        <f>Source!DE249</f>
        <v>)*1,15</v>
      </c>
      <c r="H574" s="10">
        <f>Source!AV249</f>
        <v>1.067</v>
      </c>
      <c r="I574" s="45">
        <f>ROUND((((((Source!ET249*1.15))-((Source!EU249*1.15)))+Source!AE249)*Source!AV249)*Source!I249,2)</f>
        <v>3626.55</v>
      </c>
      <c r="J574" s="10">
        <f>IF(Source!BB249&lt;&gt;0,Source!BB249,1)</f>
        <v>2.13</v>
      </c>
      <c r="K574" s="45">
        <f>Source!Q249</f>
        <v>7724.54</v>
      </c>
    </row>
    <row r="575" spans="1:23" ht="14.25">
      <c r="A575" s="40"/>
      <c r="B575" s="41"/>
      <c r="C575" s="41" t="s">
        <v>556</v>
      </c>
      <c r="D575" s="42"/>
      <c r="E575" s="10"/>
      <c r="F575" s="44">
        <f>Source!AN249</f>
        <v>0.58</v>
      </c>
      <c r="G575" s="43" t="str">
        <f>Source!DF249</f>
        <v>)*1,15</v>
      </c>
      <c r="H575" s="10">
        <f>Source!AV249</f>
        <v>1.067</v>
      </c>
      <c r="I575" s="47">
        <f>ROUND((Source!AE249*Source!AV249)*Source!I249,2)</f>
        <v>81.84</v>
      </c>
      <c r="J575" s="10">
        <f>IF(Source!BS249&lt;&gt;0,Source!BS249,1)</f>
        <v>20.4</v>
      </c>
      <c r="K575" s="47">
        <f>Source!R249</f>
        <v>1669.62</v>
      </c>
      <c r="W575">
        <f>ROUND((Source!AE249*Source!AV249)*Source!I249,2)</f>
        <v>81.84</v>
      </c>
    </row>
    <row r="576" spans="1:11" ht="14.25">
      <c r="A576" s="40"/>
      <c r="B576" s="41"/>
      <c r="C576" s="41" t="s">
        <v>557</v>
      </c>
      <c r="D576" s="42"/>
      <c r="E576" s="10"/>
      <c r="F576" s="44">
        <f>Source!AL249</f>
        <v>0</v>
      </c>
      <c r="G576" s="43">
        <f>Source!DD249</f>
      </c>
      <c r="H576" s="10">
        <f>Source!AW249</f>
        <v>1.003</v>
      </c>
      <c r="I576" s="45">
        <f>ROUND((Source!AC249*Source!AW249)*Source!I249,2)</f>
        <v>0</v>
      </c>
      <c r="J576" s="10">
        <f>IF(Source!BC249&lt;&gt;0,Source!BC249,1)</f>
        <v>1</v>
      </c>
      <c r="K576" s="45">
        <f>Source!P249</f>
        <v>0</v>
      </c>
    </row>
    <row r="577" spans="1:11" ht="14.25">
      <c r="A577" s="40"/>
      <c r="B577" s="41"/>
      <c r="C577" s="41" t="s">
        <v>558</v>
      </c>
      <c r="D577" s="42" t="s">
        <v>559</v>
      </c>
      <c r="E577" s="10">
        <f>Source!DN249</f>
        <v>133</v>
      </c>
      <c r="F577" s="44"/>
      <c r="G577" s="43"/>
      <c r="H577" s="10"/>
      <c r="I577" s="45">
        <f>SUM(Q572:Q576)</f>
        <v>0</v>
      </c>
      <c r="J577" s="10">
        <f>Source!BZ249</f>
        <v>106</v>
      </c>
      <c r="K577" s="45">
        <f>SUM(R572:R576)</f>
        <v>0</v>
      </c>
    </row>
    <row r="578" spans="1:11" ht="14.25">
      <c r="A578" s="40"/>
      <c r="B578" s="41"/>
      <c r="C578" s="41" t="s">
        <v>560</v>
      </c>
      <c r="D578" s="42" t="s">
        <v>559</v>
      </c>
      <c r="E578" s="10">
        <f>Source!DO249</f>
        <v>113</v>
      </c>
      <c r="F578" s="44"/>
      <c r="G578" s="43"/>
      <c r="H578" s="10"/>
      <c r="I578" s="45">
        <f>SUM(S572:S577)</f>
        <v>0</v>
      </c>
      <c r="J578" s="10">
        <f>Source!CA249</f>
        <v>53</v>
      </c>
      <c r="K578" s="45">
        <f>SUM(T572:T577)</f>
        <v>0</v>
      </c>
    </row>
    <row r="579" spans="1:11" ht="14.25">
      <c r="A579" s="40"/>
      <c r="B579" s="41"/>
      <c r="C579" s="41" t="s">
        <v>561</v>
      </c>
      <c r="D579" s="42" t="s">
        <v>559</v>
      </c>
      <c r="E579" s="10">
        <f>175</f>
        <v>175</v>
      </c>
      <c r="F579" s="44"/>
      <c r="G579" s="43"/>
      <c r="H579" s="10"/>
      <c r="I579" s="45">
        <f>SUM(U572:U578)</f>
        <v>143.22</v>
      </c>
      <c r="J579" s="10">
        <f>167</f>
        <v>167</v>
      </c>
      <c r="K579" s="45">
        <f>SUM(V572:V578)</f>
        <v>2788.27</v>
      </c>
    </row>
    <row r="580" spans="1:28" ht="14.25">
      <c r="A580" s="40"/>
      <c r="B580" s="41"/>
      <c r="C580" s="41" t="s">
        <v>562</v>
      </c>
      <c r="D580" s="42" t="s">
        <v>563</v>
      </c>
      <c r="E580" s="10">
        <f>Source!AQ249</f>
        <v>0</v>
      </c>
      <c r="F580" s="44"/>
      <c r="G580" s="43" t="str">
        <f>Source!DI249</f>
        <v>)*1,15</v>
      </c>
      <c r="H580" s="10">
        <f>Source!AV249</f>
        <v>1.067</v>
      </c>
      <c r="I580" s="45">
        <f>Source!U249</f>
        <v>0</v>
      </c>
      <c r="J580" s="10"/>
      <c r="K580" s="45"/>
      <c r="AB580" s="48">
        <f>I580</f>
        <v>0</v>
      </c>
    </row>
    <row r="581" spans="1:27" ht="15">
      <c r="A581" s="51"/>
      <c r="B581" s="51"/>
      <c r="C581" s="52" t="s">
        <v>564</v>
      </c>
      <c r="D581" s="51"/>
      <c r="E581" s="51"/>
      <c r="F581" s="51"/>
      <c r="G581" s="51"/>
      <c r="H581" s="53">
        <f>I573+I574+I576+I577+I578+I579</f>
        <v>3769.77</v>
      </c>
      <c r="I581" s="53"/>
      <c r="J581" s="53">
        <f>K573+K574+K576+K577+K578+K579</f>
        <v>10512.81</v>
      </c>
      <c r="K581" s="53"/>
      <c r="O581" s="48">
        <f>H581</f>
        <v>3769.77</v>
      </c>
      <c r="P581" s="48">
        <f>J581</f>
        <v>10512.81</v>
      </c>
      <c r="X581">
        <f>IF(Source!BI249&lt;=1,I573+I574+I576+I577+I578+I579-0,0)</f>
        <v>3769.77</v>
      </c>
      <c r="Y581">
        <f>IF(Source!BI249=2,I573+I574+I576+I577+I578+I579-0,0)</f>
        <v>0</v>
      </c>
      <c r="Z581">
        <f>IF(Source!BI249=3,I573+I574+I576+I577+I578+I579-0,0)</f>
        <v>0</v>
      </c>
      <c r="AA581">
        <f>IF(Source!BI249=4,I573+I574+I576+I577+I578+I579,0)</f>
        <v>0</v>
      </c>
    </row>
    <row r="583" spans="1:22" ht="52.5">
      <c r="A583" s="40" t="str">
        <f>Source!E250</f>
        <v>54</v>
      </c>
      <c r="B583" s="41" t="s">
        <v>569</v>
      </c>
      <c r="C583" s="41" t="str">
        <f>Source!G250</f>
        <v>ЗАСЫПКА ВРУЧНУЮ ТРАНШЕЙ, ПАЗУХ КОТЛОВАНОВ И ЯМ ГРУППА ГРУНТОВ 1-3</v>
      </c>
      <c r="D583" s="42" t="str">
        <f>Source!H250</f>
        <v>100 м3</v>
      </c>
      <c r="E583" s="10">
        <f>Source!I250</f>
        <v>0.36</v>
      </c>
      <c r="F583" s="44"/>
      <c r="G583" s="43"/>
      <c r="H583" s="10"/>
      <c r="I583" s="45"/>
      <c r="J583" s="10"/>
      <c r="K583" s="45"/>
      <c r="Q583">
        <f>ROUND((Source!DN250/100)*ROUND((Source!AF250*Source!AV250)*Source!I250,2),2)</f>
        <v>570.24</v>
      </c>
      <c r="R583">
        <f>Source!X250</f>
        <v>9417.17</v>
      </c>
      <c r="S583">
        <f>ROUND((Source!DO250/100)*ROUND((Source!AF250*Source!AV250)*Source!I250,2),2)</f>
        <v>418.18</v>
      </c>
      <c r="T583">
        <f>Source!Y250</f>
        <v>4542.4</v>
      </c>
      <c r="U583">
        <f>ROUND((175/100)*ROUND((Source!AE250*Source!AV250)*Source!I250,2),2)</f>
        <v>0</v>
      </c>
      <c r="V583">
        <f>ROUND((167/100)*ROUND(Source!CS250*Source!I250,2),2)</f>
        <v>0</v>
      </c>
    </row>
    <row r="584" ht="12.75">
      <c r="C584" s="46" t="str">
        <f>"Объем: "&amp;Source!I250&amp;"=36/"&amp;"100"</f>
        <v>Объем: 0,36=36/100</v>
      </c>
    </row>
    <row r="585" spans="1:23" ht="14.25">
      <c r="A585" s="40"/>
      <c r="B585" s="41"/>
      <c r="C585" s="41" t="s">
        <v>554</v>
      </c>
      <c r="D585" s="42"/>
      <c r="E585" s="10"/>
      <c r="F585" s="44">
        <f>Source!AO250</f>
        <v>1051.13</v>
      </c>
      <c r="G585" s="43" t="str">
        <f>Source!DG250</f>
        <v>)*1,15</v>
      </c>
      <c r="H585" s="10">
        <f>Source!AV250</f>
        <v>1.248</v>
      </c>
      <c r="I585" s="45">
        <f>ROUND((Source!AF250*Source!AV250)*Source!I250,2)</f>
        <v>543.09</v>
      </c>
      <c r="J585" s="10">
        <f>IF(Source!BA250&lt;&gt;0,Source!BA250,1)</f>
        <v>20.4</v>
      </c>
      <c r="K585" s="45">
        <f>Source!S250</f>
        <v>11079.02</v>
      </c>
      <c r="W585">
        <f>ROUND((Source!AF250*Source!AV250)*Source!I250,2)</f>
        <v>543.09</v>
      </c>
    </row>
    <row r="586" spans="1:11" ht="14.25">
      <c r="A586" s="40"/>
      <c r="B586" s="41"/>
      <c r="C586" s="41" t="s">
        <v>555</v>
      </c>
      <c r="D586" s="42"/>
      <c r="E586" s="10"/>
      <c r="F586" s="44">
        <f>Source!AM250</f>
        <v>0</v>
      </c>
      <c r="G586" s="43" t="str">
        <f>Source!DE250</f>
        <v>)*1,15</v>
      </c>
      <c r="H586" s="10">
        <f>Source!AV250</f>
        <v>1.248</v>
      </c>
      <c r="I586" s="45">
        <f>ROUND((((((Source!ET250*1.15))-((Source!EU250*1.15)))+Source!AE250)*Source!AV250)*Source!I250,2)</f>
        <v>0</v>
      </c>
      <c r="J586" s="10">
        <f>IF(Source!BB250&lt;&gt;0,Source!BB250,1)</f>
        <v>1</v>
      </c>
      <c r="K586" s="45">
        <f>Source!Q250</f>
        <v>0</v>
      </c>
    </row>
    <row r="587" spans="1:23" ht="14.25">
      <c r="A587" s="40"/>
      <c r="B587" s="41"/>
      <c r="C587" s="41" t="s">
        <v>556</v>
      </c>
      <c r="D587" s="42"/>
      <c r="E587" s="10"/>
      <c r="F587" s="44">
        <f>Source!AN250</f>
        <v>0</v>
      </c>
      <c r="G587" s="43" t="str">
        <f>Source!DF250</f>
        <v>)*1,15</v>
      </c>
      <c r="H587" s="10">
        <f>Source!AV250</f>
        <v>1.248</v>
      </c>
      <c r="I587" s="47">
        <f>ROUND((Source!AE250*Source!AV250)*Source!I250,2)</f>
        <v>0</v>
      </c>
      <c r="J587" s="10">
        <f>IF(Source!BS250&lt;&gt;0,Source!BS250,1)</f>
        <v>20.4</v>
      </c>
      <c r="K587" s="47">
        <f>Source!R250</f>
        <v>0</v>
      </c>
      <c r="W587">
        <f>ROUND((Source!AE250*Source!AV250)*Source!I250,2)</f>
        <v>0</v>
      </c>
    </row>
    <row r="588" spans="1:11" ht="14.25">
      <c r="A588" s="40"/>
      <c r="B588" s="41"/>
      <c r="C588" s="41" t="s">
        <v>557</v>
      </c>
      <c r="D588" s="42"/>
      <c r="E588" s="10"/>
      <c r="F588" s="44">
        <f>Source!AL250</f>
        <v>0</v>
      </c>
      <c r="G588" s="43">
        <f>Source!DD250</f>
      </c>
      <c r="H588" s="10">
        <f>Source!AW250</f>
        <v>1</v>
      </c>
      <c r="I588" s="45">
        <f>ROUND((Source!AC250*Source!AW250)*Source!I250,2)</f>
        <v>0</v>
      </c>
      <c r="J588" s="10">
        <f>IF(Source!BC250&lt;&gt;0,Source!BC250,1)</f>
        <v>1</v>
      </c>
      <c r="K588" s="45">
        <f>Source!P250</f>
        <v>0</v>
      </c>
    </row>
    <row r="589" spans="1:11" ht="14.25">
      <c r="A589" s="40"/>
      <c r="B589" s="41"/>
      <c r="C589" s="41" t="s">
        <v>558</v>
      </c>
      <c r="D589" s="42" t="s">
        <v>559</v>
      </c>
      <c r="E589" s="10">
        <f>Source!DN250</f>
        <v>105</v>
      </c>
      <c r="F589" s="44"/>
      <c r="G589" s="43"/>
      <c r="H589" s="10"/>
      <c r="I589" s="45">
        <f>SUM(Q583:Q588)</f>
        <v>570.24</v>
      </c>
      <c r="J589" s="10">
        <f>Source!BZ250</f>
        <v>85</v>
      </c>
      <c r="K589" s="45">
        <f>SUM(R583:R588)</f>
        <v>9417.17</v>
      </c>
    </row>
    <row r="590" spans="1:11" ht="14.25">
      <c r="A590" s="40"/>
      <c r="B590" s="41"/>
      <c r="C590" s="41" t="s">
        <v>560</v>
      </c>
      <c r="D590" s="42" t="s">
        <v>559</v>
      </c>
      <c r="E590" s="10">
        <f>Source!DO250</f>
        <v>77</v>
      </c>
      <c r="F590" s="44"/>
      <c r="G590" s="43"/>
      <c r="H590" s="10"/>
      <c r="I590" s="45">
        <f>SUM(S583:S589)</f>
        <v>418.18</v>
      </c>
      <c r="J590" s="10">
        <f>Source!CA250</f>
        <v>41</v>
      </c>
      <c r="K590" s="45">
        <f>SUM(T583:T589)</f>
        <v>4542.4</v>
      </c>
    </row>
    <row r="591" spans="1:11" ht="14.25">
      <c r="A591" s="40"/>
      <c r="B591" s="41"/>
      <c r="C591" s="41" t="s">
        <v>561</v>
      </c>
      <c r="D591" s="42" t="s">
        <v>559</v>
      </c>
      <c r="E591" s="10">
        <f>175</f>
        <v>175</v>
      </c>
      <c r="F591" s="44"/>
      <c r="G591" s="43"/>
      <c r="H591" s="10"/>
      <c r="I591" s="45">
        <f>SUM(U583:U590)</f>
        <v>0</v>
      </c>
      <c r="J591" s="10">
        <f>167</f>
        <v>167</v>
      </c>
      <c r="K591" s="45">
        <f>SUM(V583:V590)</f>
        <v>0</v>
      </c>
    </row>
    <row r="592" spans="1:28" ht="14.25">
      <c r="A592" s="40"/>
      <c r="B592" s="41"/>
      <c r="C592" s="41" t="s">
        <v>562</v>
      </c>
      <c r="D592" s="42" t="s">
        <v>563</v>
      </c>
      <c r="E592" s="10">
        <f>Source!AQ250</f>
        <v>107.04</v>
      </c>
      <c r="F592" s="44"/>
      <c r="G592" s="43" t="str">
        <f>Source!DI250</f>
        <v>)*1,15</v>
      </c>
      <c r="H592" s="10">
        <f>Source!AV250</f>
        <v>1.248</v>
      </c>
      <c r="I592" s="45">
        <f>Source!U250</f>
        <v>55.30457088</v>
      </c>
      <c r="J592" s="10"/>
      <c r="K592" s="45"/>
      <c r="AB592" s="48">
        <f>I592</f>
        <v>55.30457088</v>
      </c>
    </row>
    <row r="593" spans="1:27" ht="15">
      <c r="A593" s="51"/>
      <c r="B593" s="51"/>
      <c r="C593" s="52" t="s">
        <v>564</v>
      </c>
      <c r="D593" s="51"/>
      <c r="E593" s="51"/>
      <c r="F593" s="51"/>
      <c r="G593" s="51"/>
      <c r="H593" s="53">
        <f>I585+I586+I588+I589+I590+I591</f>
        <v>1531.51</v>
      </c>
      <c r="I593" s="53"/>
      <c r="J593" s="53">
        <f>K585+K586+K588+K589+K590+K591</f>
        <v>25038.590000000004</v>
      </c>
      <c r="K593" s="53"/>
      <c r="O593" s="48">
        <f>H593</f>
        <v>1531.51</v>
      </c>
      <c r="P593" s="48">
        <f>J593</f>
        <v>25038.590000000004</v>
      </c>
      <c r="X593">
        <f>IF(Source!BI250&lt;=1,I585+I586+I588+I589+I590+I591-0,0)</f>
        <v>1531.51</v>
      </c>
      <c r="Y593">
        <f>IF(Source!BI250=2,I585+I586+I588+I589+I590+I591-0,0)</f>
        <v>0</v>
      </c>
      <c r="Z593">
        <f>IF(Source!BI250=3,I585+I586+I588+I589+I590+I591-0,0)</f>
        <v>0</v>
      </c>
      <c r="AA593">
        <f>IF(Source!BI250=4,I585+I586+I588+I589+I590+I591,0)</f>
        <v>0</v>
      </c>
    </row>
    <row r="596" spans="1:32" ht="15">
      <c r="A596" s="56" t="str">
        <f>CONCATENATE("Итого по подразделу: ",IF(Source!G252&lt;&gt;"Новый подраздел",Source!G252,""))</f>
        <v>Итого по подразделу: ГНБ</v>
      </c>
      <c r="B596" s="56"/>
      <c r="C596" s="56"/>
      <c r="D596" s="56"/>
      <c r="E596" s="56"/>
      <c r="F596" s="56"/>
      <c r="G596" s="56"/>
      <c r="H596" s="50">
        <f>SUM(O487:O595)</f>
        <v>6500923.200000001</v>
      </c>
      <c r="I596" s="55"/>
      <c r="J596" s="50">
        <f>SUM(P487:P595)</f>
        <v>19699031.730000004</v>
      </c>
      <c r="K596" s="55"/>
      <c r="AF596" s="57" t="str">
        <f>CONCATENATE("Итого по подразделу: ",IF(Source!G252&lt;&gt;"Новый подраздел",Source!G252,""))</f>
        <v>Итого по подразделу: ГНБ</v>
      </c>
    </row>
    <row r="598" spans="1:31" ht="16.5">
      <c r="A598" s="38" t="str">
        <f>CONCATENATE("Подраздел: ",IF(Source!G278&lt;&gt;"Новый подраздел",Source!G278,""))</f>
        <v>Подраздел: КЛ-20 кВ по кабельному коллектору  ПК16 - ПК172</v>
      </c>
      <c r="B598" s="38"/>
      <c r="C598" s="38"/>
      <c r="D598" s="38"/>
      <c r="E598" s="38"/>
      <c r="F598" s="38"/>
      <c r="G598" s="38"/>
      <c r="H598" s="38"/>
      <c r="I598" s="38"/>
      <c r="J598" s="38"/>
      <c r="K598" s="38"/>
      <c r="AE598" s="39" t="str">
        <f>CONCATENATE("Подраздел: ",IF(Source!G278&lt;&gt;"Новый подраздел",Source!G278,""))</f>
        <v>Подраздел: КЛ-20 кВ по кабельному коллектору  ПК16 - ПК172</v>
      </c>
    </row>
    <row r="599" spans="1:22" ht="65.25">
      <c r="A599" s="40" t="str">
        <f>Source!E282</f>
        <v>55</v>
      </c>
      <c r="B599" s="41" t="s">
        <v>592</v>
      </c>
      <c r="C599" s="41" t="str">
        <f>Source!G282</f>
        <v>КОНСТРУКЦИИ МЕТАЛЛИЧЕСКИЕ КАБЕЛЬНЫЕ, СТОЙКА СБОРНЫХ КАБЕЛЬНЫХ КОНСТРУКЦИЙ (БЕЗ ПОЛОК), МАССА: ДО 1,6 КГ</v>
      </c>
      <c r="D599" s="42" t="str">
        <f>Source!H282</f>
        <v>100 шт.</v>
      </c>
      <c r="E599" s="10">
        <f>Source!I282</f>
        <v>15.91</v>
      </c>
      <c r="F599" s="44"/>
      <c r="G599" s="43"/>
      <c r="H599" s="10"/>
      <c r="I599" s="45"/>
      <c r="J599" s="10"/>
      <c r="K599" s="45"/>
      <c r="Q599">
        <f>ROUND((Source!DN282/100)*ROUND((Source!AF282*Source!AV282)*Source!I282,2),2)</f>
        <v>8140.59</v>
      </c>
      <c r="R599">
        <f>Source!X282</f>
        <v>133447.39</v>
      </c>
      <c r="S599">
        <f>ROUND((Source!DO282/100)*ROUND((Source!AF282*Source!AV282)*Source!I282,2),2)</f>
        <v>5087.87</v>
      </c>
      <c r="T599">
        <f>Source!Y282</f>
        <v>63758.2</v>
      </c>
      <c r="U599">
        <f>ROUND((175/100)*ROUND((Source!AE282*Source!AV282)*Source!I282,2),2)</f>
        <v>2430.33</v>
      </c>
      <c r="V599">
        <f>ROUND((167/100)*ROUND(Source!CS282*Source!I282,2),2)</f>
        <v>47312.27</v>
      </c>
    </row>
    <row r="600" ht="12.75">
      <c r="C600" s="46" t="str">
        <f>"Объем: "&amp;Source!I282&amp;"=1591/"&amp;"100"</f>
        <v>Объем: 15,91=1591/100</v>
      </c>
    </row>
    <row r="601" spans="1:23" ht="14.25">
      <c r="A601" s="40"/>
      <c r="B601" s="41"/>
      <c r="C601" s="41" t="s">
        <v>554</v>
      </c>
      <c r="D601" s="42"/>
      <c r="E601" s="10"/>
      <c r="F601" s="44">
        <f>Source!AO282</f>
        <v>304.55</v>
      </c>
      <c r="G601" s="43" t="str">
        <f>Source!DG282</f>
        <v>)*1,2)*1,15</v>
      </c>
      <c r="H601" s="10">
        <f>Source!AV282</f>
        <v>1.087</v>
      </c>
      <c r="I601" s="45">
        <f>ROUND((Source!AF282*Source!AV282)*Source!I282,2)</f>
        <v>7268.38</v>
      </c>
      <c r="J601" s="10">
        <f>IF(Source!BA282&lt;&gt;0,Source!BA282,1)</f>
        <v>20.4</v>
      </c>
      <c r="K601" s="45">
        <f>Source!S282</f>
        <v>148274.88</v>
      </c>
      <c r="W601">
        <f>ROUND((Source!AF282*Source!AV282)*Source!I282,2)</f>
        <v>7268.38</v>
      </c>
    </row>
    <row r="602" spans="1:11" ht="14.25">
      <c r="A602" s="40"/>
      <c r="B602" s="41"/>
      <c r="C602" s="41" t="s">
        <v>555</v>
      </c>
      <c r="D602" s="42"/>
      <c r="E602" s="10"/>
      <c r="F602" s="44">
        <f>Source!AM282</f>
        <v>855.92</v>
      </c>
      <c r="G602" s="43" t="str">
        <f>Source!DE282</f>
        <v>)*1,2)*1,15</v>
      </c>
      <c r="H602" s="10">
        <f>Source!AV282</f>
        <v>1.087</v>
      </c>
      <c r="I602" s="45">
        <f>ROUND(((((((Source!ET282*1.2)*1.15))-(((Source!EU282*1.2)*1.15)))+Source!AE282)*Source!AV282)*Source!I282,2)</f>
        <v>20427.35</v>
      </c>
      <c r="J602" s="10">
        <f>IF(Source!BB282&lt;&gt;0,Source!BB282,1)</f>
        <v>6.43</v>
      </c>
      <c r="K602" s="45">
        <f>Source!Q282</f>
        <v>131347.85</v>
      </c>
    </row>
    <row r="603" spans="1:23" ht="14.25">
      <c r="A603" s="40"/>
      <c r="B603" s="41"/>
      <c r="C603" s="41" t="s">
        <v>556</v>
      </c>
      <c r="D603" s="42"/>
      <c r="E603" s="10"/>
      <c r="F603" s="44">
        <f>Source!AN282</f>
        <v>58.19</v>
      </c>
      <c r="G603" s="43" t="str">
        <f>Source!DF282</f>
        <v>)*1,2)*1,15</v>
      </c>
      <c r="H603" s="10">
        <f>Source!AV282</f>
        <v>1.087</v>
      </c>
      <c r="I603" s="47">
        <f>ROUND((Source!AE282*Source!AV282)*Source!I282,2)</f>
        <v>1388.76</v>
      </c>
      <c r="J603" s="10">
        <f>IF(Source!BS282&lt;&gt;0,Source!BS282,1)</f>
        <v>20.4</v>
      </c>
      <c r="K603" s="47">
        <f>Source!R282</f>
        <v>28330.7</v>
      </c>
      <c r="W603">
        <f>ROUND((Source!AE282*Source!AV282)*Source!I282,2)</f>
        <v>1388.76</v>
      </c>
    </row>
    <row r="604" spans="1:11" ht="14.25">
      <c r="A604" s="40"/>
      <c r="B604" s="41"/>
      <c r="C604" s="41" t="s">
        <v>557</v>
      </c>
      <c r="D604" s="42"/>
      <c r="E604" s="10"/>
      <c r="F604" s="44">
        <f>Source!AL282</f>
        <v>130.9</v>
      </c>
      <c r="G604" s="43">
        <f>Source!DD282</f>
      </c>
      <c r="H604" s="10">
        <f>Source!AW282</f>
        <v>1</v>
      </c>
      <c r="I604" s="45">
        <f>ROUND((Source!AC282*Source!AW282)*Source!I282,2)</f>
        <v>2082.62</v>
      </c>
      <c r="J604" s="10">
        <f>IF(Source!BC282&lt;&gt;0,Source!BC282,1)</f>
        <v>5.23</v>
      </c>
      <c r="K604" s="45">
        <f>Source!P282</f>
        <v>10892.1</v>
      </c>
    </row>
    <row r="605" spans="1:27" ht="27">
      <c r="A605" s="40" t="str">
        <f>Source!E283</f>
        <v>55,1</v>
      </c>
      <c r="B605" s="41" t="str">
        <f>Source!F283</f>
        <v>прайс</v>
      </c>
      <c r="C605" s="41" t="s">
        <v>593</v>
      </c>
      <c r="D605" s="42" t="str">
        <f>Source!H283</f>
        <v>ШТ</v>
      </c>
      <c r="E605" s="10">
        <f>Source!I283</f>
        <v>1591</v>
      </c>
      <c r="F605" s="44">
        <f>Source!AK283</f>
        <v>181.36</v>
      </c>
      <c r="G605" s="54" t="s">
        <v>6</v>
      </c>
      <c r="H605" s="10">
        <f>Source!AW283</f>
        <v>1</v>
      </c>
      <c r="I605" s="45">
        <f>ROUND((Source!AC283*Source!AW283)*Source!I283,2)+ROUND(((((Source!ET283)-(Source!EU283))+Source!AE283)*Source!AV283)*Source!I283,2)+ROUND((Source!AF283*Source!AV283)*Source!I283,2)</f>
        <v>288543.76</v>
      </c>
      <c r="J605" s="10">
        <f>IF(Source!BC283&lt;&gt;0,Source!BC283,1)</f>
        <v>1</v>
      </c>
      <c r="K605" s="45">
        <f>Source!O283</f>
        <v>288543.76</v>
      </c>
      <c r="Q605">
        <f>ROUND((Source!DN283/100)*ROUND((Source!AF283*Source!AV283)*Source!I283,2),2)</f>
        <v>0</v>
      </c>
      <c r="R605">
        <f>Source!X283</f>
        <v>0</v>
      </c>
      <c r="S605">
        <f>ROUND((Source!DO283/100)*ROUND((Source!AF283*Source!AV283)*Source!I283,2),2)</f>
        <v>0</v>
      </c>
      <c r="T605">
        <f>Source!Y283</f>
        <v>0</v>
      </c>
      <c r="U605">
        <f>ROUND((175/100)*ROUND((Source!AE283*Source!AV283)*Source!I283,2),2)</f>
        <v>0</v>
      </c>
      <c r="V605">
        <f>ROUND((167/100)*ROUND(Source!CS283*Source!I283,2),2)</f>
        <v>0</v>
      </c>
      <c r="X605">
        <f>IF(Source!BI283&lt;=1,I605,0)</f>
        <v>0</v>
      </c>
      <c r="Y605">
        <f>IF(Source!BI283=2,I605,0)</f>
        <v>288543.76</v>
      </c>
      <c r="Z605">
        <f>IF(Source!BI283=3,I605,0)</f>
        <v>0</v>
      </c>
      <c r="AA605">
        <f>IF(Source!BI283=4,I605,0)</f>
        <v>0</v>
      </c>
    </row>
    <row r="606" spans="1:11" ht="14.25">
      <c r="A606" s="40"/>
      <c r="B606" s="41"/>
      <c r="C606" s="41" t="s">
        <v>558</v>
      </c>
      <c r="D606" s="42" t="s">
        <v>559</v>
      </c>
      <c r="E606" s="10">
        <f>Source!DN282</f>
        <v>112</v>
      </c>
      <c r="F606" s="44"/>
      <c r="G606" s="43"/>
      <c r="H606" s="10"/>
      <c r="I606" s="45">
        <f>SUM(Q599:Q605)</f>
        <v>8140.59</v>
      </c>
      <c r="J606" s="10">
        <f>Source!BZ282</f>
        <v>90</v>
      </c>
      <c r="K606" s="45">
        <f>SUM(R599:R605)</f>
        <v>133447.39</v>
      </c>
    </row>
    <row r="607" spans="1:11" ht="14.25">
      <c r="A607" s="40"/>
      <c r="B607" s="41"/>
      <c r="C607" s="41" t="s">
        <v>560</v>
      </c>
      <c r="D607" s="42" t="s">
        <v>559</v>
      </c>
      <c r="E607" s="10">
        <f>Source!DO282</f>
        <v>70</v>
      </c>
      <c r="F607" s="44"/>
      <c r="G607" s="43"/>
      <c r="H607" s="10"/>
      <c r="I607" s="45">
        <f>SUM(S599:S606)</f>
        <v>5087.87</v>
      </c>
      <c r="J607" s="10">
        <f>Source!CA282</f>
        <v>43</v>
      </c>
      <c r="K607" s="45">
        <f>SUM(T599:T606)</f>
        <v>63758.2</v>
      </c>
    </row>
    <row r="608" spans="1:11" ht="14.25">
      <c r="A608" s="40"/>
      <c r="B608" s="41"/>
      <c r="C608" s="41" t="s">
        <v>561</v>
      </c>
      <c r="D608" s="42" t="s">
        <v>559</v>
      </c>
      <c r="E608" s="10">
        <f>175</f>
        <v>175</v>
      </c>
      <c r="F608" s="44"/>
      <c r="G608" s="43"/>
      <c r="H608" s="10"/>
      <c r="I608" s="45">
        <f>SUM(U599:U607)</f>
        <v>2430.33</v>
      </c>
      <c r="J608" s="10">
        <f>167</f>
        <v>167</v>
      </c>
      <c r="K608" s="45">
        <f>SUM(V599:V607)</f>
        <v>47312.27</v>
      </c>
    </row>
    <row r="609" spans="1:28" ht="14.25">
      <c r="A609" s="40"/>
      <c r="B609" s="41"/>
      <c r="C609" s="41" t="s">
        <v>562</v>
      </c>
      <c r="D609" s="42" t="s">
        <v>563</v>
      </c>
      <c r="E609" s="10">
        <f>Source!AQ282</f>
        <v>24.7</v>
      </c>
      <c r="F609" s="44"/>
      <c r="G609" s="43" t="str">
        <f>Source!DI282</f>
        <v>)*1,2)*1,15</v>
      </c>
      <c r="H609" s="10">
        <f>Source!AV282</f>
        <v>1.087</v>
      </c>
      <c r="I609" s="45">
        <f>Source!U282</f>
        <v>589.4890786199999</v>
      </c>
      <c r="J609" s="10"/>
      <c r="K609" s="45"/>
      <c r="AB609" s="48">
        <f>I609</f>
        <v>589.4890786199999</v>
      </c>
    </row>
    <row r="610" spans="1:27" ht="15">
      <c r="A610" s="51"/>
      <c r="B610" s="51"/>
      <c r="C610" s="52" t="s">
        <v>564</v>
      </c>
      <c r="D610" s="51"/>
      <c r="E610" s="51"/>
      <c r="F610" s="51"/>
      <c r="G610" s="51"/>
      <c r="H610" s="53">
        <f>I601+I602+I604+I606+I607+I608+SUM(I605:I605)</f>
        <v>333980.9</v>
      </c>
      <c r="I610" s="53"/>
      <c r="J610" s="53">
        <f>K601+K602+K604+K606+K607+K608+SUM(K605:K605)</f>
        <v>823576.45</v>
      </c>
      <c r="K610" s="53"/>
      <c r="O610" s="48">
        <f>H610</f>
        <v>333980.9</v>
      </c>
      <c r="P610" s="48">
        <f>J610</f>
        <v>823576.45</v>
      </c>
      <c r="X610">
        <f>IF(Source!BI282&lt;=1,I601+I602+I604+I606+I607+I608-0,0)</f>
        <v>0</v>
      </c>
      <c r="Y610">
        <f>IF(Source!BI282=2,I601+I602+I604+I606+I607+I608-0,0)</f>
        <v>45437.14000000001</v>
      </c>
      <c r="Z610">
        <f>IF(Source!BI282=3,I601+I602+I604+I606+I607+I608-0,0)</f>
        <v>0</v>
      </c>
      <c r="AA610">
        <f>IF(Source!BI282=4,I601+I602+I604+I606+I607+I608,0)</f>
        <v>0</v>
      </c>
    </row>
    <row r="612" spans="1:22" ht="116.25">
      <c r="A612" s="40" t="str">
        <f>Source!E284</f>
        <v>56</v>
      </c>
      <c r="B612" s="41" t="s">
        <v>594</v>
      </c>
      <c r="C612" s="41" t="str">
        <f>Source!G284</f>
        <v>КОНСТРУКЦИИ МЕТАЛЛИЧЕСКИЕ КАБЕЛЬНЫЕ, ПОЛКА КАБЕЛЬНАЯ, УСТАНАВЛИВАЕМАЯ НА СТОЙКАХ, МАССА: ДО 0,9 КГ</v>
      </c>
      <c r="D612" s="42" t="str">
        <f>Source!H284</f>
        <v>100 шт.</v>
      </c>
      <c r="E612" s="10">
        <f>Source!I284</f>
        <v>15.91</v>
      </c>
      <c r="F612" s="44"/>
      <c r="G612" s="43"/>
      <c r="H612" s="10"/>
      <c r="I612" s="45"/>
      <c r="J612" s="10"/>
      <c r="K612" s="45"/>
      <c r="Q612">
        <f>ROUND((Source!DN284/100)*ROUND((Source!AF284*Source!AV284)*Source!I284,2),2)</f>
        <v>678.94</v>
      </c>
      <c r="R612">
        <f>Source!X284</f>
        <v>11129.74</v>
      </c>
      <c r="S612">
        <f>ROUND((Source!DO284/100)*ROUND((Source!AF284*Source!AV284)*Source!I284,2),2)</f>
        <v>424.34</v>
      </c>
      <c r="T612">
        <f>Source!Y284</f>
        <v>5317.54</v>
      </c>
      <c r="U612">
        <f>ROUND((175/100)*ROUND((Source!AE284*Source!AV284)*Source!I284,2),2)</f>
        <v>246.42</v>
      </c>
      <c r="V612">
        <f>ROUND((167/100)*ROUND(Source!CS284*Source!I284,2),2)</f>
        <v>4797.09</v>
      </c>
    </row>
    <row r="613" ht="12.75">
      <c r="C613" s="46" t="str">
        <f>"Объем: "&amp;Source!I284&amp;"=1591/"&amp;"100"</f>
        <v>Объем: 15,91=1591/100</v>
      </c>
    </row>
    <row r="614" spans="1:23" ht="14.25">
      <c r="A614" s="40"/>
      <c r="B614" s="41"/>
      <c r="C614" s="41" t="s">
        <v>554</v>
      </c>
      <c r="D614" s="42"/>
      <c r="E614" s="10"/>
      <c r="F614" s="44">
        <f>Source!AO284</f>
        <v>25.4</v>
      </c>
      <c r="G614" s="43" t="str">
        <f>Source!DG284</f>
        <v>)*1,2)*1,15</v>
      </c>
      <c r="H614" s="10">
        <f>Source!AV284</f>
        <v>1.087</v>
      </c>
      <c r="I614" s="45">
        <f>ROUND((Source!AF284*Source!AV284)*Source!I284,2)</f>
        <v>606.2</v>
      </c>
      <c r="J614" s="10">
        <f>IF(Source!BA284&lt;&gt;0,Source!BA284,1)</f>
        <v>20.4</v>
      </c>
      <c r="K614" s="45">
        <f>Source!S284</f>
        <v>12366.38</v>
      </c>
      <c r="W614">
        <f>ROUND((Source!AF284*Source!AV284)*Source!I284,2)</f>
        <v>606.2</v>
      </c>
    </row>
    <row r="615" spans="1:11" ht="14.25">
      <c r="A615" s="40"/>
      <c r="B615" s="41"/>
      <c r="C615" s="41" t="s">
        <v>555</v>
      </c>
      <c r="D615" s="42"/>
      <c r="E615" s="10"/>
      <c r="F615" s="44">
        <f>Source!AM284</f>
        <v>25.4</v>
      </c>
      <c r="G615" s="43" t="str">
        <f>Source!DE284</f>
        <v>)*1,2)*1,15</v>
      </c>
      <c r="H615" s="10">
        <f>Source!AV284</f>
        <v>1.087</v>
      </c>
      <c r="I615" s="45">
        <f>ROUND(((((((Source!ET284*1.2)*1.15))-(((Source!EU284*1.2)*1.15)))+Source!AE284)*Source!AV284)*Source!I284,2)</f>
        <v>606.2</v>
      </c>
      <c r="J615" s="10">
        <f>IF(Source!BB284&lt;&gt;0,Source!BB284,1)</f>
        <v>8.89</v>
      </c>
      <c r="K615" s="45">
        <f>Source!Q284</f>
        <v>5389.08</v>
      </c>
    </row>
    <row r="616" spans="1:23" ht="14.25">
      <c r="A616" s="40"/>
      <c r="B616" s="41"/>
      <c r="C616" s="41" t="s">
        <v>556</v>
      </c>
      <c r="D616" s="42"/>
      <c r="E616" s="10"/>
      <c r="F616" s="44">
        <f>Source!AN284</f>
        <v>5.9</v>
      </c>
      <c r="G616" s="43" t="str">
        <f>Source!DF284</f>
        <v>)*1,2)*1,15</v>
      </c>
      <c r="H616" s="10">
        <f>Source!AV284</f>
        <v>1.087</v>
      </c>
      <c r="I616" s="47">
        <f>ROUND((Source!AE284*Source!AV284)*Source!I284,2)</f>
        <v>140.81</v>
      </c>
      <c r="J616" s="10">
        <f>IF(Source!BS284&lt;&gt;0,Source!BS284,1)</f>
        <v>20.4</v>
      </c>
      <c r="K616" s="47">
        <f>Source!R284</f>
        <v>2872.51</v>
      </c>
      <c r="W616">
        <f>ROUND((Source!AE284*Source!AV284)*Source!I284,2)</f>
        <v>140.81</v>
      </c>
    </row>
    <row r="617" spans="1:11" ht="14.25">
      <c r="A617" s="40"/>
      <c r="B617" s="41"/>
      <c r="C617" s="41" t="s">
        <v>557</v>
      </c>
      <c r="D617" s="42"/>
      <c r="E617" s="10"/>
      <c r="F617" s="44">
        <f>Source!AL284</f>
        <v>3.92</v>
      </c>
      <c r="G617" s="43">
        <f>Source!DD284</f>
      </c>
      <c r="H617" s="10">
        <f>Source!AW284</f>
        <v>1</v>
      </c>
      <c r="I617" s="45">
        <f>ROUND((Source!AC284*Source!AW284)*Source!I284,2)</f>
        <v>62.37</v>
      </c>
      <c r="J617" s="10">
        <f>IF(Source!BC284&lt;&gt;0,Source!BC284,1)</f>
        <v>5.23</v>
      </c>
      <c r="K617" s="45">
        <f>Source!P284</f>
        <v>326.18</v>
      </c>
    </row>
    <row r="618" spans="1:27" ht="27">
      <c r="A618" s="40" t="str">
        <f>Source!E285</f>
        <v>56,1</v>
      </c>
      <c r="B618" s="41" t="str">
        <f>Source!F285</f>
        <v>прайс</v>
      </c>
      <c r="C618" s="41" t="s">
        <v>595</v>
      </c>
      <c r="D618" s="42" t="str">
        <f>Source!H285</f>
        <v>ШТ</v>
      </c>
      <c r="E618" s="10">
        <f>Source!I285</f>
        <v>1591</v>
      </c>
      <c r="F618" s="44">
        <f>Source!AK285</f>
        <v>215.25</v>
      </c>
      <c r="G618" s="54" t="s">
        <v>6</v>
      </c>
      <c r="H618" s="10">
        <f>Source!AW285</f>
        <v>1</v>
      </c>
      <c r="I618" s="45">
        <f>ROUND((Source!AC285*Source!AW285)*Source!I285,2)+ROUND(((((Source!ET285)-(Source!EU285))+Source!AE285)*Source!AV285)*Source!I285,2)+ROUND((Source!AF285*Source!AV285)*Source!I285,2)</f>
        <v>342462.75</v>
      </c>
      <c r="J618" s="10">
        <f>IF(Source!BC285&lt;&gt;0,Source!BC285,1)</f>
        <v>1</v>
      </c>
      <c r="K618" s="45">
        <f>Source!O285</f>
        <v>342462.75</v>
      </c>
      <c r="Q618">
        <f>ROUND((Source!DN285/100)*ROUND((Source!AF285*Source!AV285)*Source!I285,2),2)</f>
        <v>0</v>
      </c>
      <c r="R618">
        <f>Source!X285</f>
        <v>0</v>
      </c>
      <c r="S618">
        <f>ROUND((Source!DO285/100)*ROUND((Source!AF285*Source!AV285)*Source!I285,2),2)</f>
        <v>0</v>
      </c>
      <c r="T618">
        <f>Source!Y285</f>
        <v>0</v>
      </c>
      <c r="U618">
        <f>ROUND((175/100)*ROUND((Source!AE285*Source!AV285)*Source!I285,2),2)</f>
        <v>0</v>
      </c>
      <c r="V618">
        <f>ROUND((167/100)*ROUND(Source!CS285*Source!I285,2),2)</f>
        <v>0</v>
      </c>
      <c r="X618">
        <f>IF(Source!BI285&lt;=1,I618,0)</f>
        <v>0</v>
      </c>
      <c r="Y618">
        <f>IF(Source!BI285=2,I618,0)</f>
        <v>342462.75</v>
      </c>
      <c r="Z618">
        <f>IF(Source!BI285=3,I618,0)</f>
        <v>0</v>
      </c>
      <c r="AA618">
        <f>IF(Source!BI285=4,I618,0)</f>
        <v>0</v>
      </c>
    </row>
    <row r="619" spans="1:11" ht="14.25">
      <c r="A619" s="40"/>
      <c r="B619" s="41"/>
      <c r="C619" s="41" t="s">
        <v>558</v>
      </c>
      <c r="D619" s="42" t="s">
        <v>559</v>
      </c>
      <c r="E619" s="10">
        <f>Source!DN284</f>
        <v>112</v>
      </c>
      <c r="F619" s="44"/>
      <c r="G619" s="43"/>
      <c r="H619" s="10"/>
      <c r="I619" s="45">
        <f>SUM(Q612:Q618)</f>
        <v>678.94</v>
      </c>
      <c r="J619" s="10">
        <f>Source!BZ284</f>
        <v>90</v>
      </c>
      <c r="K619" s="45">
        <f>SUM(R612:R618)</f>
        <v>11129.74</v>
      </c>
    </row>
    <row r="620" spans="1:11" ht="14.25">
      <c r="A620" s="40"/>
      <c r="B620" s="41"/>
      <c r="C620" s="41" t="s">
        <v>560</v>
      </c>
      <c r="D620" s="42" t="s">
        <v>559</v>
      </c>
      <c r="E620" s="10">
        <f>Source!DO284</f>
        <v>70</v>
      </c>
      <c r="F620" s="44"/>
      <c r="G620" s="43"/>
      <c r="H620" s="10"/>
      <c r="I620" s="45">
        <f>SUM(S612:S619)</f>
        <v>424.34</v>
      </c>
      <c r="J620" s="10">
        <f>Source!CA284</f>
        <v>43</v>
      </c>
      <c r="K620" s="45">
        <f>SUM(T612:T619)</f>
        <v>5317.54</v>
      </c>
    </row>
    <row r="621" spans="1:11" ht="14.25">
      <c r="A621" s="40"/>
      <c r="B621" s="41"/>
      <c r="C621" s="41" t="s">
        <v>561</v>
      </c>
      <c r="D621" s="42" t="s">
        <v>559</v>
      </c>
      <c r="E621" s="10">
        <f>175</f>
        <v>175</v>
      </c>
      <c r="F621" s="44"/>
      <c r="G621" s="43"/>
      <c r="H621" s="10"/>
      <c r="I621" s="45">
        <f>SUM(U612:U620)</f>
        <v>246.42</v>
      </c>
      <c r="J621" s="10">
        <f>167</f>
        <v>167</v>
      </c>
      <c r="K621" s="45">
        <f>SUM(V612:V620)</f>
        <v>4797.09</v>
      </c>
    </row>
    <row r="622" spans="1:28" ht="14.25">
      <c r="A622" s="40"/>
      <c r="B622" s="41"/>
      <c r="C622" s="41" t="s">
        <v>562</v>
      </c>
      <c r="D622" s="42" t="s">
        <v>563</v>
      </c>
      <c r="E622" s="10">
        <f>Source!AQ284</f>
        <v>2.06</v>
      </c>
      <c r="F622" s="44"/>
      <c r="G622" s="43" t="str">
        <f>Source!DI284</f>
        <v>)*1,2)*1,15</v>
      </c>
      <c r="H622" s="10">
        <f>Source!AV284</f>
        <v>1.087</v>
      </c>
      <c r="I622" s="45">
        <f>Source!U284</f>
        <v>49.16386647599999</v>
      </c>
      <c r="J622" s="10"/>
      <c r="K622" s="45"/>
      <c r="AB622" s="48">
        <f>I622</f>
        <v>49.16386647599999</v>
      </c>
    </row>
    <row r="623" spans="1:27" ht="15">
      <c r="A623" s="51"/>
      <c r="B623" s="51"/>
      <c r="C623" s="52" t="s">
        <v>564</v>
      </c>
      <c r="D623" s="51"/>
      <c r="E623" s="51"/>
      <c r="F623" s="51"/>
      <c r="G623" s="51"/>
      <c r="H623" s="53">
        <f>I614+I615+I617+I619+I620+I621+SUM(I618:I618)</f>
        <v>345087.22</v>
      </c>
      <c r="I623" s="53"/>
      <c r="J623" s="53">
        <f>K614+K615+K617+K619+K620+K621+SUM(K618:K618)</f>
        <v>381788.76</v>
      </c>
      <c r="K623" s="53"/>
      <c r="O623" s="48">
        <f>H623</f>
        <v>345087.22</v>
      </c>
      <c r="P623" s="48">
        <f>J623</f>
        <v>381788.76</v>
      </c>
      <c r="X623">
        <f>IF(Source!BI284&lt;=1,I614+I615+I617+I619+I620+I621-0,0)</f>
        <v>0</v>
      </c>
      <c r="Y623">
        <f>IF(Source!BI284=2,I614+I615+I617+I619+I620+I621-0,0)</f>
        <v>2624.4700000000003</v>
      </c>
      <c r="Z623">
        <f>IF(Source!BI284=3,I614+I615+I617+I619+I620+I621-0,0)</f>
        <v>0</v>
      </c>
      <c r="AA623">
        <f>IF(Source!BI284=4,I614+I615+I617+I619+I620+I621,0)</f>
        <v>0</v>
      </c>
    </row>
    <row r="625" spans="1:22" ht="116.25">
      <c r="A625" s="40" t="str">
        <f>Source!E286</f>
        <v>57</v>
      </c>
      <c r="B625" s="41" t="s">
        <v>596</v>
      </c>
      <c r="C625" s="41" t="str">
        <f>Source!G286</f>
        <v>КАБЕЛИ ДО 35 КВ, ПРОКЛАДЫВАЕМЫЕ ПО УСТАНОВЛЕННЫМ КОНСТРУКЦИЯМ И ЛОТКАМ, КАБЕЛЬ С КРЕПЛЕНИЕМ ПО ВСЕЙ ДЛИНЕ, МАССА 1 М: ДО 9 КГ</v>
      </c>
      <c r="D625" s="42" t="str">
        <f>Source!H286</f>
        <v>100 м</v>
      </c>
      <c r="E625" s="10">
        <f>Source!I286</f>
        <v>47.73</v>
      </c>
      <c r="F625" s="44"/>
      <c r="G625" s="43"/>
      <c r="H625" s="10"/>
      <c r="I625" s="45"/>
      <c r="J625" s="10"/>
      <c r="K625" s="45"/>
      <c r="Q625">
        <f>ROUND((Source!DN286/100)*ROUND((Source!AF286*Source!AV286)*Source!I286,2),2)</f>
        <v>41150.98</v>
      </c>
      <c r="R625">
        <f>Source!X286</f>
        <v>674582.22</v>
      </c>
      <c r="S625">
        <f>ROUND((Source!DO286/100)*ROUND((Source!AF286*Source!AV286)*Source!I286,2),2)</f>
        <v>25719.37</v>
      </c>
      <c r="T625">
        <f>Source!Y286</f>
        <v>322300.39</v>
      </c>
      <c r="U625">
        <f>ROUND((175/100)*ROUND((Source!AE286*Source!AV286)*Source!I286,2),2)</f>
        <v>24494.87</v>
      </c>
      <c r="V625">
        <f>ROUND((167/100)*ROUND(Source!CS286*Source!I286,2),2)</f>
        <v>476852.1</v>
      </c>
    </row>
    <row r="626" ht="12.75">
      <c r="C626" s="46" t="str">
        <f>"Объем: "&amp;Source!I286&amp;"=4773/"&amp;"100"</f>
        <v>Объем: 47,73=4773/100</v>
      </c>
    </row>
    <row r="627" spans="1:23" ht="14.25">
      <c r="A627" s="40"/>
      <c r="B627" s="41"/>
      <c r="C627" s="41" t="s">
        <v>554</v>
      </c>
      <c r="D627" s="42"/>
      <c r="E627" s="10"/>
      <c r="F627" s="44">
        <f>Source!AO286</f>
        <v>522.79</v>
      </c>
      <c r="G627" s="43" t="str">
        <f>Source!DG286</f>
        <v>)*1,15)*1,2</v>
      </c>
      <c r="H627" s="10">
        <f>Source!AV286</f>
        <v>1.067</v>
      </c>
      <c r="I627" s="45">
        <f>ROUND((Source!AF286*Source!AV286)*Source!I286,2)</f>
        <v>36741.95</v>
      </c>
      <c r="J627" s="10">
        <f>IF(Source!BA286&lt;&gt;0,Source!BA286,1)</f>
        <v>20.4</v>
      </c>
      <c r="K627" s="45">
        <f>Source!S286</f>
        <v>749535.8</v>
      </c>
      <c r="W627">
        <f>ROUND((Source!AF286*Source!AV286)*Source!I286,2)</f>
        <v>36741.95</v>
      </c>
    </row>
    <row r="628" spans="1:11" ht="14.25">
      <c r="A628" s="40"/>
      <c r="B628" s="41"/>
      <c r="C628" s="41" t="s">
        <v>555</v>
      </c>
      <c r="D628" s="42"/>
      <c r="E628" s="10"/>
      <c r="F628" s="44">
        <f>Source!AM286</f>
        <v>1223.71</v>
      </c>
      <c r="G628" s="43" t="str">
        <f>Source!DE286</f>
        <v>)*1,15)*1,2</v>
      </c>
      <c r="H628" s="10">
        <f>Source!AV286</f>
        <v>1.067</v>
      </c>
      <c r="I628" s="45">
        <f>ROUND(((((((Source!ET286*1.15)*1.2))-(((Source!EU286*1.15)*1.2)))+Source!AE286)*Source!AV286)*Source!I286,2)</f>
        <v>86002.97</v>
      </c>
      <c r="J628" s="10">
        <f>IF(Source!BB286&lt;&gt;0,Source!BB286,1)</f>
        <v>7.85</v>
      </c>
      <c r="K628" s="45">
        <f>Source!Q286</f>
        <v>675123.31</v>
      </c>
    </row>
    <row r="629" spans="1:23" ht="14.25">
      <c r="A629" s="40"/>
      <c r="B629" s="41"/>
      <c r="C629" s="41" t="s">
        <v>556</v>
      </c>
      <c r="D629" s="42"/>
      <c r="E629" s="10"/>
      <c r="F629" s="44">
        <f>Source!AN286</f>
        <v>199.16</v>
      </c>
      <c r="G629" s="43" t="str">
        <f>Source!DF286</f>
        <v>)*1,15)*1,2</v>
      </c>
      <c r="H629" s="10">
        <f>Source!AV286</f>
        <v>1.067</v>
      </c>
      <c r="I629" s="47">
        <f>ROUND((Source!AE286*Source!AV286)*Source!I286,2)</f>
        <v>13997.07</v>
      </c>
      <c r="J629" s="10">
        <f>IF(Source!BS286&lt;&gt;0,Source!BS286,1)</f>
        <v>20.4</v>
      </c>
      <c r="K629" s="47">
        <f>Source!R286</f>
        <v>285540.18</v>
      </c>
      <c r="W629">
        <f>ROUND((Source!AE286*Source!AV286)*Source!I286,2)</f>
        <v>13997.07</v>
      </c>
    </row>
    <row r="630" spans="1:11" ht="14.25">
      <c r="A630" s="40"/>
      <c r="B630" s="41"/>
      <c r="C630" s="41" t="s">
        <v>557</v>
      </c>
      <c r="D630" s="42"/>
      <c r="E630" s="10"/>
      <c r="F630" s="44">
        <f>Source!AL286</f>
        <v>40.6</v>
      </c>
      <c r="G630" s="43">
        <f>Source!DD286</f>
      </c>
      <c r="H630" s="10">
        <f>Source!AW286</f>
        <v>1.081</v>
      </c>
      <c r="I630" s="45">
        <f>ROUND((Source!AC286*Source!AW286)*Source!I286,2)</f>
        <v>2094.8</v>
      </c>
      <c r="J630" s="10">
        <f>IF(Source!BC286&lt;&gt;0,Source!BC286,1)</f>
        <v>5.23</v>
      </c>
      <c r="K630" s="45">
        <f>Source!P286</f>
        <v>10955.82</v>
      </c>
    </row>
    <row r="631" spans="1:11" ht="14.25">
      <c r="A631" s="40"/>
      <c r="B631" s="41"/>
      <c r="C631" s="41" t="s">
        <v>558</v>
      </c>
      <c r="D631" s="42" t="s">
        <v>559</v>
      </c>
      <c r="E631" s="10">
        <f>Source!DN286</f>
        <v>112</v>
      </c>
      <c r="F631" s="44"/>
      <c r="G631" s="43"/>
      <c r="H631" s="10"/>
      <c r="I631" s="45">
        <f>SUM(Q625:Q630)</f>
        <v>41150.98</v>
      </c>
      <c r="J631" s="10">
        <f>Source!BZ286</f>
        <v>90</v>
      </c>
      <c r="K631" s="45">
        <f>SUM(R625:R630)</f>
        <v>674582.22</v>
      </c>
    </row>
    <row r="632" spans="1:11" ht="14.25">
      <c r="A632" s="40"/>
      <c r="B632" s="41"/>
      <c r="C632" s="41" t="s">
        <v>560</v>
      </c>
      <c r="D632" s="42" t="s">
        <v>559</v>
      </c>
      <c r="E632" s="10">
        <f>Source!DO286</f>
        <v>70</v>
      </c>
      <c r="F632" s="44"/>
      <c r="G632" s="43"/>
      <c r="H632" s="10"/>
      <c r="I632" s="45">
        <f>SUM(S625:S631)</f>
        <v>25719.37</v>
      </c>
      <c r="J632" s="10">
        <f>Source!CA286</f>
        <v>43</v>
      </c>
      <c r="K632" s="45">
        <f>SUM(T625:T631)</f>
        <v>322300.39</v>
      </c>
    </row>
    <row r="633" spans="1:11" ht="14.25">
      <c r="A633" s="40"/>
      <c r="B633" s="41"/>
      <c r="C633" s="41" t="s">
        <v>561</v>
      </c>
      <c r="D633" s="42" t="s">
        <v>559</v>
      </c>
      <c r="E633" s="10">
        <f>175</f>
        <v>175</v>
      </c>
      <c r="F633" s="44"/>
      <c r="G633" s="43"/>
      <c r="H633" s="10"/>
      <c r="I633" s="45">
        <f>SUM(U625:U632)</f>
        <v>24494.87</v>
      </c>
      <c r="J633" s="10">
        <f>167</f>
        <v>167</v>
      </c>
      <c r="K633" s="45">
        <f>SUM(V625:V632)</f>
        <v>476852.1</v>
      </c>
    </row>
    <row r="634" spans="1:28" ht="14.25">
      <c r="A634" s="40"/>
      <c r="B634" s="41"/>
      <c r="C634" s="41" t="s">
        <v>562</v>
      </c>
      <c r="D634" s="42" t="s">
        <v>563</v>
      </c>
      <c r="E634" s="10">
        <f>Source!AQ286</f>
        <v>42.4</v>
      </c>
      <c r="F634" s="44"/>
      <c r="G634" s="43" t="str">
        <f>Source!DI286</f>
        <v>)*1,15)*1,2</v>
      </c>
      <c r="H634" s="10">
        <f>Source!AV286</f>
        <v>1.067</v>
      </c>
      <c r="I634" s="45">
        <f>Source!U286</f>
        <v>2979.8938699199994</v>
      </c>
      <c r="J634" s="10"/>
      <c r="K634" s="45"/>
      <c r="AB634" s="48">
        <f>I634</f>
        <v>2979.8938699199994</v>
      </c>
    </row>
    <row r="635" spans="1:27" ht="15">
      <c r="A635" s="51"/>
      <c r="B635" s="51"/>
      <c r="C635" s="52" t="s">
        <v>564</v>
      </c>
      <c r="D635" s="51"/>
      <c r="E635" s="51"/>
      <c r="F635" s="51"/>
      <c r="G635" s="51"/>
      <c r="H635" s="53">
        <f>I627+I628+I630+I631+I632+I633</f>
        <v>216204.94</v>
      </c>
      <c r="I635" s="53"/>
      <c r="J635" s="53">
        <f>K627+K628+K630+K631+K632+K633</f>
        <v>2909349.6400000006</v>
      </c>
      <c r="K635" s="53"/>
      <c r="O635" s="48">
        <f>H635</f>
        <v>216204.94</v>
      </c>
      <c r="P635" s="48">
        <f>J635</f>
        <v>2909349.6400000006</v>
      </c>
      <c r="X635">
        <f>IF(Source!BI286&lt;=1,I627+I628+I630+I631+I632+I633-0,0)</f>
        <v>0</v>
      </c>
      <c r="Y635">
        <f>IF(Source!BI286=2,I627+I628+I630+I631+I632+I633-0,0)</f>
        <v>216204.94</v>
      </c>
      <c r="Z635">
        <f>IF(Source!BI286=3,I627+I628+I630+I631+I632+I633-0,0)</f>
        <v>0</v>
      </c>
      <c r="AA635">
        <f>IF(Source!BI286=4,I627+I628+I630+I631+I632+I633,0)</f>
        <v>0</v>
      </c>
    </row>
    <row r="637" spans="1:22" ht="54">
      <c r="A637" s="40" t="str">
        <f>Source!E287</f>
        <v>58</v>
      </c>
      <c r="B637" s="41" t="str">
        <f>Source!F287</f>
        <v>прайс</v>
      </c>
      <c r="C637" s="41" t="s">
        <v>597</v>
      </c>
      <c r="D637" s="42" t="str">
        <f>Source!H287</f>
        <v>м</v>
      </c>
      <c r="E637" s="10">
        <f>Source!I287</f>
        <v>4868</v>
      </c>
      <c r="F637" s="44">
        <f>Source!AL287</f>
        <v>1151.69</v>
      </c>
      <c r="G637" s="43">
        <f>Source!DD287</f>
      </c>
      <c r="H637" s="10">
        <f>Source!AW287</f>
        <v>1</v>
      </c>
      <c r="I637" s="45">
        <f>ROUND((Source!AC287*Source!AW287)*Source!I287,2)</f>
        <v>5606426.92</v>
      </c>
      <c r="J637" s="10">
        <f>IF(Source!BC287&lt;&gt;0,Source!BC287,1)</f>
        <v>1</v>
      </c>
      <c r="K637" s="45">
        <f>Source!P287</f>
        <v>5606426.92</v>
      </c>
      <c r="Q637">
        <f>ROUND((Source!DN287/100)*ROUND((Source!AF287*Source!AV287)*Source!I287,2),2)</f>
        <v>0</v>
      </c>
      <c r="R637">
        <f>Source!X287</f>
        <v>0</v>
      </c>
      <c r="S637">
        <f>ROUND((Source!DO287/100)*ROUND((Source!AF287*Source!AV287)*Source!I287,2),2)</f>
        <v>0</v>
      </c>
      <c r="T637">
        <f>Source!Y287</f>
        <v>0</v>
      </c>
      <c r="U637">
        <f>ROUND((175/100)*ROUND((Source!AE287*Source!AV287)*Source!I287,2),2)</f>
        <v>0</v>
      </c>
      <c r="V637">
        <f>ROUND((167/100)*ROUND(Source!CS287*Source!I287,2),2)</f>
        <v>0</v>
      </c>
    </row>
    <row r="638" spans="1:27" ht="15">
      <c r="A638" s="51"/>
      <c r="B638" s="51"/>
      <c r="C638" s="52" t="s">
        <v>564</v>
      </c>
      <c r="D638" s="51"/>
      <c r="E638" s="51"/>
      <c r="F638" s="51"/>
      <c r="G638" s="51"/>
      <c r="H638" s="53">
        <f>I637</f>
        <v>5606426.92</v>
      </c>
      <c r="I638" s="53"/>
      <c r="J638" s="53">
        <f>K637</f>
        <v>5606426.92</v>
      </c>
      <c r="K638" s="53"/>
      <c r="O638" s="48">
        <f>H638</f>
        <v>5606426.92</v>
      </c>
      <c r="P638" s="48">
        <f>J638</f>
        <v>5606426.92</v>
      </c>
      <c r="X638">
        <f>IF(Source!BI287&lt;=1,I637-0,0)</f>
        <v>5606426.92</v>
      </c>
      <c r="Y638">
        <f>IF(Source!BI287=2,I637-0,0)</f>
        <v>0</v>
      </c>
      <c r="Z638">
        <f>IF(Source!BI287=3,I637-0,0)</f>
        <v>0</v>
      </c>
      <c r="AA638">
        <f>IF(Source!BI287=4,I637,0)</f>
        <v>0</v>
      </c>
    </row>
    <row r="640" spans="1:22" ht="57">
      <c r="A640" s="40" t="str">
        <f>Source!E288</f>
        <v>59</v>
      </c>
      <c r="B640" s="41" t="s">
        <v>570</v>
      </c>
      <c r="C640" s="41" t="str">
        <f>Source!G288</f>
        <v>ОГНЕЗАЩИТНОЕ ПОКРЫТИЕ ЭЛЕКТРИЧЕСКИХ КАБЕЛЕЙ, ПРОЛОЖЕННЫХ В КОЛЛЕКТОРАХ, МАСТИКОЙ "МПВО" ВРУЧНУЮ</v>
      </c>
      <c r="D640" s="42" t="str">
        <f>Source!H288</f>
        <v>м2</v>
      </c>
      <c r="E640" s="10">
        <f>Source!I288</f>
        <v>9.42</v>
      </c>
      <c r="F640" s="44"/>
      <c r="G640" s="43"/>
      <c r="H640" s="10"/>
      <c r="I640" s="45"/>
      <c r="J640" s="10"/>
      <c r="K640" s="45"/>
      <c r="Q640">
        <f>ROUND((Source!DN288/100)*ROUND((Source!AF288*Source!AV288)*Source!I288,2),2)</f>
        <v>421.11</v>
      </c>
      <c r="R640">
        <f>Source!X288</f>
        <v>6954.35</v>
      </c>
      <c r="S640">
        <f>ROUND((Source!DO288/100)*ROUND((Source!AF288*Source!AV288)*Source!I288,2),2)</f>
        <v>308.82</v>
      </c>
      <c r="T640">
        <f>Source!Y288</f>
        <v>3354.45</v>
      </c>
      <c r="U640">
        <f>ROUND((175/100)*ROUND((Source!AE288*Source!AV288)*Source!I288,2),2)</f>
        <v>0</v>
      </c>
      <c r="V640">
        <f>ROUND((167/100)*ROUND(Source!CS288*Source!I288,2),2)</f>
        <v>0</v>
      </c>
    </row>
    <row r="641" spans="1:23" ht="14.25">
      <c r="A641" s="40"/>
      <c r="B641" s="41"/>
      <c r="C641" s="41" t="s">
        <v>554</v>
      </c>
      <c r="D641" s="42"/>
      <c r="E641" s="10"/>
      <c r="F641" s="44">
        <f>Source!AO288</f>
        <v>35.36</v>
      </c>
      <c r="G641" s="43" t="str">
        <f>Source!DG288</f>
        <v>)*1,15</v>
      </c>
      <c r="H641" s="10">
        <f>Source!AV288</f>
        <v>1.047</v>
      </c>
      <c r="I641" s="45">
        <f>ROUND((Source!AF288*Source!AV288)*Source!I288,2)</f>
        <v>401.06</v>
      </c>
      <c r="J641" s="10">
        <f>IF(Source!BA288&lt;&gt;0,Source!BA288,1)</f>
        <v>20.4</v>
      </c>
      <c r="K641" s="45">
        <f>Source!S288</f>
        <v>8181.59</v>
      </c>
      <c r="W641">
        <f>ROUND((Source!AF288*Source!AV288)*Source!I288,2)</f>
        <v>401.06</v>
      </c>
    </row>
    <row r="642" spans="1:11" ht="14.25">
      <c r="A642" s="40"/>
      <c r="B642" s="41"/>
      <c r="C642" s="41" t="s">
        <v>555</v>
      </c>
      <c r="D642" s="42"/>
      <c r="E642" s="10"/>
      <c r="F642" s="44">
        <f>Source!AM288</f>
        <v>0</v>
      </c>
      <c r="G642" s="43" t="str">
        <f>Source!DE288</f>
        <v>)*1,15</v>
      </c>
      <c r="H642" s="10">
        <f>Source!AV288</f>
        <v>1.047</v>
      </c>
      <c r="I642" s="45">
        <f>ROUND((((((Source!ET288*1.15))-((Source!EU288*1.15)))+Source!AE288)*Source!AV288)*Source!I288,2)</f>
        <v>0</v>
      </c>
      <c r="J642" s="10">
        <f>IF(Source!BB288&lt;&gt;0,Source!BB288,1)</f>
        <v>1</v>
      </c>
      <c r="K642" s="45">
        <f>Source!Q288</f>
        <v>0</v>
      </c>
    </row>
    <row r="643" spans="1:23" ht="14.25">
      <c r="A643" s="40"/>
      <c r="B643" s="41"/>
      <c r="C643" s="41" t="s">
        <v>556</v>
      </c>
      <c r="D643" s="42"/>
      <c r="E643" s="10"/>
      <c r="F643" s="44">
        <f>Source!AN288</f>
        <v>0</v>
      </c>
      <c r="G643" s="43" t="str">
        <f>Source!DF288</f>
        <v>)*1,15</v>
      </c>
      <c r="H643" s="10">
        <f>Source!AV288</f>
        <v>1.047</v>
      </c>
      <c r="I643" s="47">
        <f>ROUND((Source!AE288*Source!AV288)*Source!I288,2)</f>
        <v>0</v>
      </c>
      <c r="J643" s="10">
        <f>IF(Source!BS288&lt;&gt;0,Source!BS288,1)</f>
        <v>20.4</v>
      </c>
      <c r="K643" s="47">
        <f>Source!R288</f>
        <v>0</v>
      </c>
      <c r="W643">
        <f>ROUND((Source!AE288*Source!AV288)*Source!I288,2)</f>
        <v>0</v>
      </c>
    </row>
    <row r="644" spans="1:11" ht="14.25">
      <c r="A644" s="40"/>
      <c r="B644" s="41"/>
      <c r="C644" s="41" t="s">
        <v>557</v>
      </c>
      <c r="D644" s="42"/>
      <c r="E644" s="10"/>
      <c r="F644" s="44">
        <f>Source!AL288</f>
        <v>0</v>
      </c>
      <c r="G644" s="43">
        <f>Source!DD288</f>
      </c>
      <c r="H644" s="10">
        <f>Source!AW288</f>
        <v>1</v>
      </c>
      <c r="I644" s="45">
        <f>ROUND((Source!AC288*Source!AW288)*Source!I288,2)</f>
        <v>0</v>
      </c>
      <c r="J644" s="10">
        <f>IF(Source!BC288&lt;&gt;0,Source!BC288,1)</f>
        <v>1</v>
      </c>
      <c r="K644" s="45">
        <f>Source!P288</f>
        <v>0</v>
      </c>
    </row>
    <row r="645" spans="1:27" ht="39.75">
      <c r="A645" s="40" t="str">
        <f>Source!E289</f>
        <v>59,1</v>
      </c>
      <c r="B645" s="41" t="str">
        <f>Source!F289</f>
        <v>прайс</v>
      </c>
      <c r="C645" s="41" t="s">
        <v>598</v>
      </c>
      <c r="D645" s="42" t="str">
        <f>Source!H289</f>
        <v>упак.</v>
      </c>
      <c r="E645" s="10">
        <f>Source!I289</f>
        <v>1</v>
      </c>
      <c r="F645" s="44">
        <f>Source!AK289</f>
        <v>5508.47</v>
      </c>
      <c r="G645" s="54" t="s">
        <v>6</v>
      </c>
      <c r="H645" s="10">
        <f>Source!AW289</f>
        <v>1</v>
      </c>
      <c r="I645" s="45">
        <f>ROUND((Source!AC289*Source!AW289)*Source!I289,2)+ROUND(((((Source!ET289)-(Source!EU289))+Source!AE289)*Source!AV289)*Source!I289,2)+ROUND((Source!AF289*Source!AV289)*Source!I289,2)</f>
        <v>5508.47</v>
      </c>
      <c r="J645" s="10">
        <f>IF(Source!BC289&lt;&gt;0,Source!BC289,1)</f>
        <v>1</v>
      </c>
      <c r="K645" s="45">
        <f>Source!O289</f>
        <v>5508.47</v>
      </c>
      <c r="Q645">
        <f>ROUND((Source!DN289/100)*ROUND((Source!AF289*Source!AV289)*Source!I289,2),2)</f>
        <v>0</v>
      </c>
      <c r="R645">
        <f>Source!X289</f>
        <v>0</v>
      </c>
      <c r="S645">
        <f>ROUND((Source!DO289/100)*ROUND((Source!AF289*Source!AV289)*Source!I289,2),2)</f>
        <v>0</v>
      </c>
      <c r="T645">
        <f>Source!Y289</f>
        <v>0</v>
      </c>
      <c r="U645">
        <f>ROUND((175/100)*ROUND((Source!AE289*Source!AV289)*Source!I289,2),2)</f>
        <v>0</v>
      </c>
      <c r="V645">
        <f>ROUND((167/100)*ROUND(Source!CS289*Source!I289,2),2)</f>
        <v>0</v>
      </c>
      <c r="X645">
        <f>IF(Source!BI289&lt;=1,I645,0)</f>
        <v>5508.47</v>
      </c>
      <c r="Y645">
        <f>IF(Source!BI289=2,I645,0)</f>
        <v>0</v>
      </c>
      <c r="Z645">
        <f>IF(Source!BI289=3,I645,0)</f>
        <v>0</v>
      </c>
      <c r="AA645">
        <f>IF(Source!BI289=4,I645,0)</f>
        <v>0</v>
      </c>
    </row>
    <row r="646" spans="1:11" ht="14.25">
      <c r="A646" s="40"/>
      <c r="B646" s="41"/>
      <c r="C646" s="41" t="s">
        <v>558</v>
      </c>
      <c r="D646" s="42" t="s">
        <v>559</v>
      </c>
      <c r="E646" s="10">
        <f>Source!DN288</f>
        <v>105</v>
      </c>
      <c r="F646" s="44"/>
      <c r="G646" s="43"/>
      <c r="H646" s="10"/>
      <c r="I646" s="45">
        <f>SUM(Q640:Q645)</f>
        <v>421.11</v>
      </c>
      <c r="J646" s="10">
        <f>Source!BZ288</f>
        <v>85</v>
      </c>
      <c r="K646" s="45">
        <f>SUM(R640:R645)</f>
        <v>6954.35</v>
      </c>
    </row>
    <row r="647" spans="1:11" ht="14.25">
      <c r="A647" s="40"/>
      <c r="B647" s="41"/>
      <c r="C647" s="41" t="s">
        <v>560</v>
      </c>
      <c r="D647" s="42" t="s">
        <v>559</v>
      </c>
      <c r="E647" s="10">
        <f>Source!DO288</f>
        <v>77</v>
      </c>
      <c r="F647" s="44"/>
      <c r="G647" s="43"/>
      <c r="H647" s="10"/>
      <c r="I647" s="45">
        <f>SUM(S640:S646)</f>
        <v>308.82</v>
      </c>
      <c r="J647" s="10">
        <f>Source!CA288</f>
        <v>41</v>
      </c>
      <c r="K647" s="45">
        <f>SUM(T640:T646)</f>
        <v>3354.45</v>
      </c>
    </row>
    <row r="648" spans="1:11" ht="14.25">
      <c r="A648" s="40"/>
      <c r="B648" s="41"/>
      <c r="C648" s="41" t="s">
        <v>561</v>
      </c>
      <c r="D648" s="42" t="s">
        <v>559</v>
      </c>
      <c r="E648" s="10">
        <f>175</f>
        <v>175</v>
      </c>
      <c r="F648" s="44"/>
      <c r="G648" s="43"/>
      <c r="H648" s="10"/>
      <c r="I648" s="45">
        <f>SUM(U640:U647)</f>
        <v>0</v>
      </c>
      <c r="J648" s="10">
        <f>167</f>
        <v>167</v>
      </c>
      <c r="K648" s="45">
        <f>SUM(V640:V647)</f>
        <v>0</v>
      </c>
    </row>
    <row r="649" spans="1:28" ht="14.25">
      <c r="A649" s="40"/>
      <c r="B649" s="41"/>
      <c r="C649" s="41" t="s">
        <v>562</v>
      </c>
      <c r="D649" s="42" t="s">
        <v>563</v>
      </c>
      <c r="E649" s="10">
        <f>Source!AQ288</f>
        <v>3.04</v>
      </c>
      <c r="F649" s="44"/>
      <c r="G649" s="43" t="str">
        <f>Source!DI288</f>
        <v>)*1,15</v>
      </c>
      <c r="H649" s="10">
        <f>Source!AV288</f>
        <v>1.047</v>
      </c>
      <c r="I649" s="45">
        <f>Source!U288</f>
        <v>34.48013903999999</v>
      </c>
      <c r="J649" s="10"/>
      <c r="K649" s="45"/>
      <c r="AB649" s="48">
        <f>I649</f>
        <v>34.48013903999999</v>
      </c>
    </row>
    <row r="650" spans="1:27" ht="15">
      <c r="A650" s="51"/>
      <c r="B650" s="51"/>
      <c r="C650" s="52" t="s">
        <v>564</v>
      </c>
      <c r="D650" s="51"/>
      <c r="E650" s="51"/>
      <c r="F650" s="51"/>
      <c r="G650" s="51"/>
      <c r="H650" s="53">
        <f>I641+I642+I644+I646+I647+I648+SUM(I645:I645)</f>
        <v>6639.46</v>
      </c>
      <c r="I650" s="53"/>
      <c r="J650" s="53">
        <f>K641+K642+K644+K646+K647+K648+SUM(K645:K645)</f>
        <v>23998.86</v>
      </c>
      <c r="K650" s="53"/>
      <c r="O650" s="48">
        <f>H650</f>
        <v>6639.46</v>
      </c>
      <c r="P650" s="48">
        <f>J650</f>
        <v>23998.86</v>
      </c>
      <c r="X650">
        <f>IF(Source!BI288&lt;=1,I641+I642+I644+I646+I647+I648-0,0)</f>
        <v>1130.99</v>
      </c>
      <c r="Y650">
        <f>IF(Source!BI288=2,I641+I642+I644+I646+I647+I648-0,0)</f>
        <v>0</v>
      </c>
      <c r="Z650">
        <f>IF(Source!BI288=3,I641+I642+I644+I646+I647+I648-0,0)</f>
        <v>0</v>
      </c>
      <c r="AA650">
        <f>IF(Source!BI288=4,I641+I642+I644+I646+I647+I648,0)</f>
        <v>0</v>
      </c>
    </row>
    <row r="652" spans="1:22" ht="85.5">
      <c r="A652" s="40" t="str">
        <f>Source!E290</f>
        <v>60</v>
      </c>
      <c r="B652" s="41" t="s">
        <v>578</v>
      </c>
      <c r="C652" s="41" t="str">
        <f>Source!G290</f>
        <v>МУФТЫ СОЕДИНИТЕЛЬНЫЕ ДЛЯ ОДНОЖИЛЬНОГО ЭКРАНИРОВАННОГО КАБЕЛЯ С ИЗОЛЯЦИЕЙ ИЗ СШИТОГО ПОЛИЭТИЛЕНА, НАПРЯЖЕНИЕМ ДО 35 КВ</v>
      </c>
      <c r="D652" s="42" t="str">
        <f>Source!H290</f>
        <v>ШТ</v>
      </c>
      <c r="E652" s="10">
        <f>Source!I290</f>
        <v>6</v>
      </c>
      <c r="F652" s="44"/>
      <c r="G652" s="43"/>
      <c r="H652" s="10"/>
      <c r="I652" s="45"/>
      <c r="J652" s="10"/>
      <c r="K652" s="45"/>
      <c r="Q652">
        <f>ROUND((Source!DN290/100)*ROUND((Source!AF290*Source!AV290)*Source!I290,2),2)</f>
        <v>1717.28</v>
      </c>
      <c r="R652">
        <f>Source!X290</f>
        <v>28151.12</v>
      </c>
      <c r="S652">
        <f>ROUND((Source!DO290/100)*ROUND((Source!AF290*Source!AV290)*Source!I290,2),2)</f>
        <v>1073.3</v>
      </c>
      <c r="T652">
        <f>Source!Y290</f>
        <v>13449.98</v>
      </c>
      <c r="U652">
        <f>ROUND((175/100)*ROUND((Source!AE290*Source!AV290)*Source!I290,2),2)</f>
        <v>59.55</v>
      </c>
      <c r="V652">
        <f>ROUND((167/100)*ROUND(Source!CS290*Source!I290,2),2)</f>
        <v>1159.21</v>
      </c>
    </row>
    <row r="653" spans="1:23" ht="14.25">
      <c r="A653" s="40"/>
      <c r="B653" s="41"/>
      <c r="C653" s="41" t="s">
        <v>554</v>
      </c>
      <c r="D653" s="42"/>
      <c r="E653" s="10"/>
      <c r="F653" s="44">
        <f>Source!AO290</f>
        <v>212.24</v>
      </c>
      <c r="G653" s="43" t="str">
        <f>Source!DG290</f>
        <v>)*1,15</v>
      </c>
      <c r="H653" s="10">
        <f>Source!AV290</f>
        <v>1.047</v>
      </c>
      <c r="I653" s="45">
        <f>ROUND((Source!AF290*Source!AV290)*Source!I290,2)</f>
        <v>1533.29</v>
      </c>
      <c r="J653" s="10">
        <f>IF(Source!BA290&lt;&gt;0,Source!BA290,1)</f>
        <v>20.4</v>
      </c>
      <c r="K653" s="45">
        <f>Source!S290</f>
        <v>31279.02</v>
      </c>
      <c r="W653">
        <f>ROUND((Source!AF290*Source!AV290)*Source!I290,2)</f>
        <v>1533.29</v>
      </c>
    </row>
    <row r="654" spans="1:11" ht="14.25">
      <c r="A654" s="40"/>
      <c r="B654" s="41"/>
      <c r="C654" s="41" t="s">
        <v>555</v>
      </c>
      <c r="D654" s="42"/>
      <c r="E654" s="10"/>
      <c r="F654" s="44">
        <f>Source!AM290</f>
        <v>53.54</v>
      </c>
      <c r="G654" s="43" t="str">
        <f>Source!DE290</f>
        <v>)*1,15</v>
      </c>
      <c r="H654" s="10">
        <f>Source!AV290</f>
        <v>1.047</v>
      </c>
      <c r="I654" s="45">
        <f>ROUND((((((Source!ET290*1.15))-((Source!EU290*1.15)))+Source!AE290)*Source!AV290)*Source!I290,2)</f>
        <v>386.79</v>
      </c>
      <c r="J654" s="10">
        <f>IF(Source!BB290&lt;&gt;0,Source!BB290,1)</f>
        <v>6.73</v>
      </c>
      <c r="K654" s="45">
        <f>Source!Q290</f>
        <v>2603.09</v>
      </c>
    </row>
    <row r="655" spans="1:23" ht="14.25">
      <c r="A655" s="40"/>
      <c r="B655" s="41"/>
      <c r="C655" s="41" t="s">
        <v>556</v>
      </c>
      <c r="D655" s="42"/>
      <c r="E655" s="10"/>
      <c r="F655" s="44">
        <f>Source!AN290</f>
        <v>4.71</v>
      </c>
      <c r="G655" s="43" t="str">
        <f>Source!DF290</f>
        <v>)*1,15</v>
      </c>
      <c r="H655" s="10">
        <f>Source!AV290</f>
        <v>1.047</v>
      </c>
      <c r="I655" s="47">
        <f>ROUND((Source!AE290*Source!AV290)*Source!I290,2)</f>
        <v>34.03</v>
      </c>
      <c r="J655" s="10">
        <f>IF(Source!BS290&lt;&gt;0,Source!BS290,1)</f>
        <v>20.4</v>
      </c>
      <c r="K655" s="47">
        <f>Source!R290</f>
        <v>694.14</v>
      </c>
      <c r="W655">
        <f>ROUND((Source!AE290*Source!AV290)*Source!I290,2)</f>
        <v>34.03</v>
      </c>
    </row>
    <row r="656" spans="1:11" ht="14.25">
      <c r="A656" s="40"/>
      <c r="B656" s="41"/>
      <c r="C656" s="41" t="s">
        <v>557</v>
      </c>
      <c r="D656" s="42"/>
      <c r="E656" s="10"/>
      <c r="F656" s="44">
        <f>Source!AL290</f>
        <v>61.32</v>
      </c>
      <c r="G656" s="43">
        <f>Source!DD290</f>
      </c>
      <c r="H656" s="10">
        <f>Source!AW290</f>
        <v>1</v>
      </c>
      <c r="I656" s="45">
        <f>ROUND((Source!AC290*Source!AW290)*Source!I290,2)</f>
        <v>367.92</v>
      </c>
      <c r="J656" s="10">
        <f>IF(Source!BC290&lt;&gt;0,Source!BC290,1)</f>
        <v>5.23</v>
      </c>
      <c r="K656" s="45">
        <f>Source!P290</f>
        <v>1924.22</v>
      </c>
    </row>
    <row r="657" spans="1:27" ht="54">
      <c r="A657" s="40" t="str">
        <f>Source!E291</f>
        <v>60,1</v>
      </c>
      <c r="B657" s="41" t="str">
        <f>Source!F291</f>
        <v>прайс</v>
      </c>
      <c r="C657" s="41" t="s">
        <v>599</v>
      </c>
      <c r="D657" s="42" t="str">
        <f>Source!H291</f>
        <v>ШТ</v>
      </c>
      <c r="E657" s="10">
        <f>Source!I291</f>
        <v>6</v>
      </c>
      <c r="F657" s="44">
        <f>Source!AK291</f>
        <v>22500</v>
      </c>
      <c r="G657" s="54" t="s">
        <v>6</v>
      </c>
      <c r="H657" s="10">
        <f>Source!AW291</f>
        <v>1</v>
      </c>
      <c r="I657" s="45">
        <f>ROUND((Source!AC291*Source!AW291)*Source!I291,2)+ROUND(((((Source!ET291)-(Source!EU291))+Source!AE291)*Source!AV291)*Source!I291,2)+ROUND((Source!AF291*Source!AV291)*Source!I291,2)</f>
        <v>135000</v>
      </c>
      <c r="J657" s="10">
        <f>IF(Source!BC291&lt;&gt;0,Source!BC291,1)</f>
        <v>1</v>
      </c>
      <c r="K657" s="45">
        <f>Source!O291</f>
        <v>135000</v>
      </c>
      <c r="Q657">
        <f>ROUND((Source!DN291/100)*ROUND((Source!AF291*Source!AV291)*Source!I291,2),2)</f>
        <v>0</v>
      </c>
      <c r="R657">
        <f>Source!X291</f>
        <v>0</v>
      </c>
      <c r="S657">
        <f>ROUND((Source!DO291/100)*ROUND((Source!AF291*Source!AV291)*Source!I291,2),2)</f>
        <v>0</v>
      </c>
      <c r="T657">
        <f>Source!Y291</f>
        <v>0</v>
      </c>
      <c r="U657">
        <f>ROUND((175/100)*ROUND((Source!AE291*Source!AV291)*Source!I291,2),2)</f>
        <v>0</v>
      </c>
      <c r="V657">
        <f>ROUND((167/100)*ROUND(Source!CS291*Source!I291,2),2)</f>
        <v>0</v>
      </c>
      <c r="X657">
        <f>IF(Source!BI291&lt;=1,I657,0)</f>
        <v>0</v>
      </c>
      <c r="Y657">
        <f>IF(Source!BI291=2,I657,0)</f>
        <v>135000</v>
      </c>
      <c r="Z657">
        <f>IF(Source!BI291=3,I657,0)</f>
        <v>0</v>
      </c>
      <c r="AA657">
        <f>IF(Source!BI291=4,I657,0)</f>
        <v>0</v>
      </c>
    </row>
    <row r="658" spans="1:11" ht="14.25">
      <c r="A658" s="40"/>
      <c r="B658" s="41"/>
      <c r="C658" s="41" t="s">
        <v>558</v>
      </c>
      <c r="D658" s="42" t="s">
        <v>559</v>
      </c>
      <c r="E658" s="10">
        <f>Source!DN290</f>
        <v>112</v>
      </c>
      <c r="F658" s="44"/>
      <c r="G658" s="43"/>
      <c r="H658" s="10"/>
      <c r="I658" s="45">
        <f>SUM(Q652:Q657)</f>
        <v>1717.28</v>
      </c>
      <c r="J658" s="10">
        <f>Source!BZ290</f>
        <v>90</v>
      </c>
      <c r="K658" s="45">
        <f>SUM(R652:R657)</f>
        <v>28151.12</v>
      </c>
    </row>
    <row r="659" spans="1:11" ht="14.25">
      <c r="A659" s="40"/>
      <c r="B659" s="41"/>
      <c r="C659" s="41" t="s">
        <v>560</v>
      </c>
      <c r="D659" s="42" t="s">
        <v>559</v>
      </c>
      <c r="E659" s="10">
        <f>Source!DO290</f>
        <v>70</v>
      </c>
      <c r="F659" s="44"/>
      <c r="G659" s="43"/>
      <c r="H659" s="10"/>
      <c r="I659" s="45">
        <f>SUM(S652:S658)</f>
        <v>1073.3</v>
      </c>
      <c r="J659" s="10">
        <f>Source!CA290</f>
        <v>43</v>
      </c>
      <c r="K659" s="45">
        <f>SUM(T652:T658)</f>
        <v>13449.98</v>
      </c>
    </row>
    <row r="660" spans="1:11" ht="14.25">
      <c r="A660" s="40"/>
      <c r="B660" s="41"/>
      <c r="C660" s="41" t="s">
        <v>561</v>
      </c>
      <c r="D660" s="42" t="s">
        <v>559</v>
      </c>
      <c r="E660" s="10">
        <f>175</f>
        <v>175</v>
      </c>
      <c r="F660" s="44"/>
      <c r="G660" s="43"/>
      <c r="H660" s="10"/>
      <c r="I660" s="45">
        <f>SUM(U652:U659)</f>
        <v>59.55</v>
      </c>
      <c r="J660" s="10">
        <f>167</f>
        <v>167</v>
      </c>
      <c r="K660" s="45">
        <f>SUM(V652:V659)</f>
        <v>1159.21</v>
      </c>
    </row>
    <row r="661" spans="1:28" ht="14.25">
      <c r="A661" s="40"/>
      <c r="B661" s="41"/>
      <c r="C661" s="41" t="s">
        <v>562</v>
      </c>
      <c r="D661" s="42" t="s">
        <v>563</v>
      </c>
      <c r="E661" s="10">
        <f>Source!AQ290</f>
        <v>16.14</v>
      </c>
      <c r="F661" s="44"/>
      <c r="G661" s="43" t="str">
        <f>Source!DI290</f>
        <v>)*1,15</v>
      </c>
      <c r="H661" s="10">
        <f>Source!AV290</f>
        <v>1.047</v>
      </c>
      <c r="I661" s="45">
        <f>Source!U290</f>
        <v>116.60020199999998</v>
      </c>
      <c r="J661" s="10"/>
      <c r="K661" s="45"/>
      <c r="AB661" s="48">
        <f>I661</f>
        <v>116.60020199999998</v>
      </c>
    </row>
    <row r="662" spans="1:27" ht="15">
      <c r="A662" s="51"/>
      <c r="B662" s="51"/>
      <c r="C662" s="52" t="s">
        <v>564</v>
      </c>
      <c r="D662" s="51"/>
      <c r="E662" s="51"/>
      <c r="F662" s="51"/>
      <c r="G662" s="51"/>
      <c r="H662" s="53">
        <f>I653+I654+I656+I658+I659+I660+SUM(I657:I657)</f>
        <v>140138.13</v>
      </c>
      <c r="I662" s="53"/>
      <c r="J662" s="53">
        <f>K653+K654+K656+K658+K659+K660+SUM(K657:K657)</f>
        <v>213566.64</v>
      </c>
      <c r="K662" s="53"/>
      <c r="O662" s="48">
        <f>H662</f>
        <v>140138.13</v>
      </c>
      <c r="P662" s="48">
        <f>J662</f>
        <v>213566.64</v>
      </c>
      <c r="X662">
        <f>IF(Source!BI290&lt;=1,I653+I654+I656+I658+I659+I660-0,0)</f>
        <v>0</v>
      </c>
      <c r="Y662">
        <f>IF(Source!BI290=2,I653+I654+I656+I658+I659+I660-0,0)</f>
        <v>5138.13</v>
      </c>
      <c r="Z662">
        <f>IF(Source!BI290=3,I653+I654+I656+I658+I659+I660-0,0)</f>
        <v>0</v>
      </c>
      <c r="AA662">
        <f>IF(Source!BI290=4,I653+I654+I656+I658+I659+I660,0)</f>
        <v>0</v>
      </c>
    </row>
    <row r="664" spans="1:22" ht="116.25">
      <c r="A664" s="40" t="str">
        <f>Source!E292</f>
        <v>61</v>
      </c>
      <c r="B664" s="41" t="s">
        <v>600</v>
      </c>
      <c r="C664" s="41" t="str">
        <f>Source!G292</f>
        <v>ПЛИТЫ АСБЕСТОЦЕМЕНТНЫЕ МЕЖДУ ПРОЛОЖЕННЫМИ КАБЕЛЯМИ НА КАБЕЛЬНЫХ КОНСТРУКЦИЯХ</v>
      </c>
      <c r="D664" s="42" t="str">
        <f>Source!H292</f>
        <v>100 м2</v>
      </c>
      <c r="E664" s="10">
        <f>Source!I292</f>
        <v>7.95</v>
      </c>
      <c r="F664" s="44"/>
      <c r="G664" s="43"/>
      <c r="H664" s="10"/>
      <c r="I664" s="45"/>
      <c r="J664" s="10"/>
      <c r="K664" s="45"/>
      <c r="Q664">
        <f>ROUND((Source!DN292/100)*ROUND((Source!AF292*Source!AV292)*Source!I292,2),2)</f>
        <v>3997.43</v>
      </c>
      <c r="R664">
        <f>Source!X292</f>
        <v>65529.19</v>
      </c>
      <c r="S664">
        <f>ROUND((Source!DO292/100)*ROUND((Source!AF292*Source!AV292)*Source!I292,2),2)</f>
        <v>2498.39</v>
      </c>
      <c r="T664">
        <f>Source!Y292</f>
        <v>31308.39</v>
      </c>
      <c r="U664">
        <f>ROUND((175/100)*ROUND((Source!AE292*Source!AV292)*Source!I292,2),2)</f>
        <v>909</v>
      </c>
      <c r="V664">
        <f>ROUND((167/100)*ROUND(Source!CS292*Source!I292,2),2)</f>
        <v>17695.79</v>
      </c>
    </row>
    <row r="665" ht="12.75">
      <c r="C665" s="46" t="str">
        <f>"Объем: "&amp;Source!I292&amp;"=795/"&amp;"100"</f>
        <v>Объем: 7,95=795/100</v>
      </c>
    </row>
    <row r="666" spans="1:23" ht="14.25">
      <c r="A666" s="40"/>
      <c r="B666" s="41"/>
      <c r="C666" s="41" t="s">
        <v>554</v>
      </c>
      <c r="D666" s="42"/>
      <c r="E666" s="10"/>
      <c r="F666" s="44">
        <f>Source!AO292</f>
        <v>310.72</v>
      </c>
      <c r="G666" s="43" t="str">
        <f>Source!DG292</f>
        <v>)*1,2)*1,15</v>
      </c>
      <c r="H666" s="10">
        <f>Source!AV292</f>
        <v>1.047</v>
      </c>
      <c r="I666" s="45">
        <f>ROUND((Source!AF292*Source!AV292)*Source!I292,2)</f>
        <v>3569.13</v>
      </c>
      <c r="J666" s="10">
        <f>IF(Source!BA292&lt;&gt;0,Source!BA292,1)</f>
        <v>20.4</v>
      </c>
      <c r="K666" s="45">
        <f>Source!S292</f>
        <v>72810.21</v>
      </c>
      <c r="W666">
        <f>ROUND((Source!AF292*Source!AV292)*Source!I292,2)</f>
        <v>3569.13</v>
      </c>
    </row>
    <row r="667" spans="1:11" ht="14.25">
      <c r="A667" s="40"/>
      <c r="B667" s="41"/>
      <c r="C667" s="41" t="s">
        <v>555</v>
      </c>
      <c r="D667" s="42"/>
      <c r="E667" s="10"/>
      <c r="F667" s="44">
        <f>Source!AM292</f>
        <v>194.72</v>
      </c>
      <c r="G667" s="43" t="str">
        <f>Source!DE292</f>
        <v>)*1,2)*1,15</v>
      </c>
      <c r="H667" s="10">
        <f>Source!AV292</f>
        <v>1.047</v>
      </c>
      <c r="I667" s="45">
        <f>ROUND(((((((Source!ET292*1.2)*1.15))-(((Source!EU292*1.2)*1.15)))+Source!AE292)*Source!AV292)*Source!I292,2)</f>
        <v>2236.68</v>
      </c>
      <c r="J667" s="10">
        <f>IF(Source!BB292&lt;&gt;0,Source!BB292,1)</f>
        <v>8.89</v>
      </c>
      <c r="K667" s="45">
        <f>Source!Q292</f>
        <v>19884.07</v>
      </c>
    </row>
    <row r="668" spans="1:23" ht="14.25">
      <c r="A668" s="40"/>
      <c r="B668" s="41"/>
      <c r="C668" s="41" t="s">
        <v>556</v>
      </c>
      <c r="D668" s="42"/>
      <c r="E668" s="10"/>
      <c r="F668" s="44">
        <f>Source!AN292</f>
        <v>45.22</v>
      </c>
      <c r="G668" s="43" t="str">
        <f>Source!DF292</f>
        <v>)*1,2)*1,15</v>
      </c>
      <c r="H668" s="10">
        <f>Source!AV292</f>
        <v>1.047</v>
      </c>
      <c r="I668" s="47">
        <f>ROUND((Source!AE292*Source!AV292)*Source!I292,2)</f>
        <v>519.43</v>
      </c>
      <c r="J668" s="10">
        <f>IF(Source!BS292&lt;&gt;0,Source!BS292,1)</f>
        <v>20.4</v>
      </c>
      <c r="K668" s="47">
        <f>Source!R292</f>
        <v>10596.28</v>
      </c>
      <c r="W668">
        <f>ROUND((Source!AE292*Source!AV292)*Source!I292,2)</f>
        <v>519.43</v>
      </c>
    </row>
    <row r="669" spans="1:11" ht="14.25">
      <c r="A669" s="40"/>
      <c r="B669" s="41"/>
      <c r="C669" s="41" t="s">
        <v>557</v>
      </c>
      <c r="D669" s="42"/>
      <c r="E669" s="10"/>
      <c r="F669" s="44">
        <f>Source!AL292</f>
        <v>280</v>
      </c>
      <c r="G669" s="43">
        <f>Source!DD292</f>
      </c>
      <c r="H669" s="10">
        <f>Source!AW292</f>
        <v>1</v>
      </c>
      <c r="I669" s="45">
        <f>ROUND((Source!AC292*Source!AW292)*Source!I292,2)</f>
        <v>2226</v>
      </c>
      <c r="J669" s="10">
        <f>IF(Source!BC292&lt;&gt;0,Source!BC292,1)</f>
        <v>5.23</v>
      </c>
      <c r="K669" s="45">
        <f>Source!P292</f>
        <v>11641.98</v>
      </c>
    </row>
    <row r="670" spans="1:27" ht="39.75">
      <c r="A670" s="40" t="str">
        <f>Source!E293</f>
        <v>61,1</v>
      </c>
      <c r="B670" s="41" t="str">
        <f>Source!F293</f>
        <v>прайс</v>
      </c>
      <c r="C670" s="41" t="s">
        <v>601</v>
      </c>
      <c r="D670" s="42" t="str">
        <f>Source!H293</f>
        <v>ШТ</v>
      </c>
      <c r="E670" s="10">
        <f>Source!I293</f>
        <v>1325</v>
      </c>
      <c r="F670" s="44">
        <f>Source!AK293</f>
        <v>1025.42</v>
      </c>
      <c r="G670" s="54" t="s">
        <v>6</v>
      </c>
      <c r="H670" s="10">
        <f>Source!AW293</f>
        <v>1</v>
      </c>
      <c r="I670" s="45">
        <f>ROUND((Source!AC293*Source!AW293)*Source!I293,2)+ROUND(((((Source!ET293)-(Source!EU293))+Source!AE293)*Source!AV293)*Source!I293,2)+ROUND((Source!AF293*Source!AV293)*Source!I293,2)</f>
        <v>1358681.5</v>
      </c>
      <c r="J670" s="10">
        <f>IF(Source!BC293&lt;&gt;0,Source!BC293,1)</f>
        <v>1</v>
      </c>
      <c r="K670" s="45">
        <f>Source!O293</f>
        <v>1358681.5</v>
      </c>
      <c r="Q670">
        <f>ROUND((Source!DN293/100)*ROUND((Source!AF293*Source!AV293)*Source!I293,2),2)</f>
        <v>0</v>
      </c>
      <c r="R670">
        <f>Source!X293</f>
        <v>0</v>
      </c>
      <c r="S670">
        <f>ROUND((Source!DO293/100)*ROUND((Source!AF293*Source!AV293)*Source!I293,2),2)</f>
        <v>0</v>
      </c>
      <c r="T670">
        <f>Source!Y293</f>
        <v>0</v>
      </c>
      <c r="U670">
        <f>ROUND((175/100)*ROUND((Source!AE293*Source!AV293)*Source!I293,2),2)</f>
        <v>0</v>
      </c>
      <c r="V670">
        <f>ROUND((167/100)*ROUND(Source!CS293*Source!I293,2),2)</f>
        <v>0</v>
      </c>
      <c r="X670">
        <f>IF(Source!BI293&lt;=1,I670,0)</f>
        <v>0</v>
      </c>
      <c r="Y670">
        <f>IF(Source!BI293=2,I670,0)</f>
        <v>1358681.5</v>
      </c>
      <c r="Z670">
        <f>IF(Source!BI293=3,I670,0)</f>
        <v>0</v>
      </c>
      <c r="AA670">
        <f>IF(Source!BI293=4,I670,0)</f>
        <v>0</v>
      </c>
    </row>
    <row r="671" spans="1:11" ht="14.25">
      <c r="A671" s="40"/>
      <c r="B671" s="41"/>
      <c r="C671" s="41" t="s">
        <v>558</v>
      </c>
      <c r="D671" s="42" t="s">
        <v>559</v>
      </c>
      <c r="E671" s="10">
        <f>Source!DN292</f>
        <v>112</v>
      </c>
      <c r="F671" s="44"/>
      <c r="G671" s="43"/>
      <c r="H671" s="10"/>
      <c r="I671" s="45">
        <f>SUM(Q664:Q670)</f>
        <v>3997.43</v>
      </c>
      <c r="J671" s="10">
        <f>Source!BZ292</f>
        <v>90</v>
      </c>
      <c r="K671" s="45">
        <f>SUM(R664:R670)</f>
        <v>65529.19</v>
      </c>
    </row>
    <row r="672" spans="1:11" ht="14.25">
      <c r="A672" s="40"/>
      <c r="B672" s="41"/>
      <c r="C672" s="41" t="s">
        <v>560</v>
      </c>
      <c r="D672" s="42" t="s">
        <v>559</v>
      </c>
      <c r="E672" s="10">
        <f>Source!DO292</f>
        <v>70</v>
      </c>
      <c r="F672" s="44"/>
      <c r="G672" s="43"/>
      <c r="H672" s="10"/>
      <c r="I672" s="45">
        <f>SUM(S664:S671)</f>
        <v>2498.39</v>
      </c>
      <c r="J672" s="10">
        <f>Source!CA292</f>
        <v>43</v>
      </c>
      <c r="K672" s="45">
        <f>SUM(T664:T671)</f>
        <v>31308.39</v>
      </c>
    </row>
    <row r="673" spans="1:11" ht="14.25">
      <c r="A673" s="40"/>
      <c r="B673" s="41"/>
      <c r="C673" s="41" t="s">
        <v>561</v>
      </c>
      <c r="D673" s="42" t="s">
        <v>559</v>
      </c>
      <c r="E673" s="10">
        <f>175</f>
        <v>175</v>
      </c>
      <c r="F673" s="44"/>
      <c r="G673" s="43"/>
      <c r="H673" s="10"/>
      <c r="I673" s="45">
        <f>SUM(U664:U672)</f>
        <v>909</v>
      </c>
      <c r="J673" s="10">
        <f>167</f>
        <v>167</v>
      </c>
      <c r="K673" s="45">
        <f>SUM(V664:V672)</f>
        <v>17695.79</v>
      </c>
    </row>
    <row r="674" spans="1:28" ht="14.25">
      <c r="A674" s="40"/>
      <c r="B674" s="41"/>
      <c r="C674" s="41" t="s">
        <v>562</v>
      </c>
      <c r="D674" s="42" t="s">
        <v>563</v>
      </c>
      <c r="E674" s="10">
        <f>Source!AQ292</f>
        <v>25.2</v>
      </c>
      <c r="F674" s="44"/>
      <c r="G674" s="43" t="str">
        <f>Source!DI292</f>
        <v>)*1,2)*1,15</v>
      </c>
      <c r="H674" s="10">
        <f>Source!AV292</f>
        <v>1.047</v>
      </c>
      <c r="I674" s="45">
        <f>Source!U292</f>
        <v>289.46325239999993</v>
      </c>
      <c r="J674" s="10"/>
      <c r="K674" s="45"/>
      <c r="AB674" s="48">
        <f>I674</f>
        <v>289.46325239999993</v>
      </c>
    </row>
    <row r="675" spans="1:27" ht="15">
      <c r="A675" s="51"/>
      <c r="B675" s="51"/>
      <c r="C675" s="52" t="s">
        <v>564</v>
      </c>
      <c r="D675" s="51"/>
      <c r="E675" s="51"/>
      <c r="F675" s="51"/>
      <c r="G675" s="51"/>
      <c r="H675" s="53">
        <f>I666+I667+I669+I671+I672+I673+SUM(I670:I670)</f>
        <v>1374118.13</v>
      </c>
      <c r="I675" s="53"/>
      <c r="J675" s="53">
        <f>K666+K667+K669+K671+K672+K673+SUM(K670:K670)</f>
        <v>1577551.1300000001</v>
      </c>
      <c r="K675" s="53"/>
      <c r="O675" s="48">
        <f>H675</f>
        <v>1374118.13</v>
      </c>
      <c r="P675" s="48">
        <f>J675</f>
        <v>1577551.1300000001</v>
      </c>
      <c r="X675">
        <f>IF(Source!BI292&lt;=1,I666+I667+I669+I671+I672+I673-0,0)</f>
        <v>0</v>
      </c>
      <c r="Y675">
        <f>IF(Source!BI292=2,I666+I667+I669+I671+I672+I673-0,0)</f>
        <v>15436.63</v>
      </c>
      <c r="Z675">
        <f>IF(Source!BI292=3,I666+I667+I669+I671+I672+I673-0,0)</f>
        <v>0</v>
      </c>
      <c r="AA675">
        <f>IF(Source!BI292=4,I666+I667+I669+I671+I672+I673,0)</f>
        <v>0</v>
      </c>
    </row>
    <row r="678" spans="1:32" ht="15">
      <c r="A678" s="56" t="str">
        <f>CONCATENATE("Итого по подразделу: ",IF(Source!G295&lt;&gt;"Новый подраздел",Source!G295,""))</f>
        <v>Итого по подразделу: КЛ-20 кВ по кабельному коллектору  ПК16 - ПК172</v>
      </c>
      <c r="B678" s="56"/>
      <c r="C678" s="56"/>
      <c r="D678" s="56"/>
      <c r="E678" s="56"/>
      <c r="F678" s="56"/>
      <c r="G678" s="56"/>
      <c r="H678" s="50">
        <f>SUM(O598:O677)</f>
        <v>8022595.7</v>
      </c>
      <c r="I678" s="55"/>
      <c r="J678" s="50">
        <f>SUM(P598:P677)</f>
        <v>11536258.4</v>
      </c>
      <c r="K678" s="55"/>
      <c r="AF678" s="57" t="str">
        <f>CONCATENATE("Итого по подразделу: ",IF(Source!G295&lt;&gt;"Новый подраздел",Source!G295,""))</f>
        <v>Итого по подразделу: КЛ-20 кВ по кабельному коллектору  ПК16 - ПК172</v>
      </c>
    </row>
    <row r="680" spans="1:31" ht="16.5">
      <c r="A680" s="38" t="str">
        <f>CONCATENATE("Подраздел: ",IF(Source!G321&lt;&gt;"Новый подраздел",Source!G321,""))</f>
        <v>Подраздел: КЛ-20 кВ по кабельному коллектору  ПК0 - ПК73</v>
      </c>
      <c r="B680" s="38"/>
      <c r="C680" s="38"/>
      <c r="D680" s="38"/>
      <c r="E680" s="38"/>
      <c r="F680" s="38"/>
      <c r="G680" s="38"/>
      <c r="H680" s="38"/>
      <c r="I680" s="38"/>
      <c r="J680" s="38"/>
      <c r="K680" s="38"/>
      <c r="AE680" s="39" t="str">
        <f>CONCATENATE("Подраздел: ",IF(Source!G321&lt;&gt;"Новый подраздел",Source!G321,""))</f>
        <v>Подраздел: КЛ-20 кВ по кабельному коллектору  ПК0 - ПК73</v>
      </c>
    </row>
    <row r="681" spans="1:22" ht="65.25">
      <c r="A681" s="40" t="str">
        <f>Source!E325</f>
        <v>62</v>
      </c>
      <c r="B681" s="41" t="s">
        <v>592</v>
      </c>
      <c r="C681" s="41" t="str">
        <f>Source!G325</f>
        <v>КОНСТРУКЦИИ МЕТАЛЛИЧЕСКИЕ КАБЕЛЬНЫЕ, СТОЙКА СБОРНЫХ КАБЕЛЬНЫХ КОНСТРУКЦИЙ (БЕЗ ПОЛОК), МАССА: ДО 1,6 КГ</v>
      </c>
      <c r="D681" s="42" t="str">
        <f>Source!H325</f>
        <v>100 шт.</v>
      </c>
      <c r="E681" s="10">
        <f>Source!I325</f>
        <v>7.45</v>
      </c>
      <c r="F681" s="44"/>
      <c r="G681" s="43"/>
      <c r="H681" s="10"/>
      <c r="I681" s="45"/>
      <c r="J681" s="10"/>
      <c r="K681" s="45"/>
      <c r="Q681">
        <f>ROUND((Source!DN325/100)*ROUND((Source!AF325*Source!AV325)*Source!I325,2),2)</f>
        <v>3811.9</v>
      </c>
      <c r="R681">
        <f>Source!X325</f>
        <v>62487.94</v>
      </c>
      <c r="S681">
        <f>ROUND((Source!DO325/100)*ROUND((Source!AF325*Source!AV325)*Source!I325,2),2)</f>
        <v>2382.44</v>
      </c>
      <c r="T681">
        <f>Source!Y325</f>
        <v>29855.35</v>
      </c>
      <c r="U681">
        <f>ROUND((175/100)*ROUND((Source!AE325*Source!AV325)*Source!I325,2),2)</f>
        <v>1138.03</v>
      </c>
      <c r="V681">
        <f>ROUND((167/100)*ROUND(Source!CS325*Source!I325,2),2)</f>
        <v>22154.39</v>
      </c>
    </row>
    <row r="682" ht="12.75">
      <c r="C682" s="46" t="str">
        <f>"Объем: "&amp;Source!I325&amp;"=745/"&amp;"100"</f>
        <v>Объем: 7,45=745/100</v>
      </c>
    </row>
    <row r="683" spans="1:23" ht="14.25">
      <c r="A683" s="40"/>
      <c r="B683" s="41"/>
      <c r="C683" s="41" t="s">
        <v>554</v>
      </c>
      <c r="D683" s="42"/>
      <c r="E683" s="10"/>
      <c r="F683" s="44">
        <f>Source!AO325</f>
        <v>304.55</v>
      </c>
      <c r="G683" s="43" t="str">
        <f>Source!DG325</f>
        <v>)*1,2)*1,15</v>
      </c>
      <c r="H683" s="10">
        <f>Source!AV325</f>
        <v>1.087</v>
      </c>
      <c r="I683" s="45">
        <f>ROUND((Source!AF325*Source!AV325)*Source!I325,2)</f>
        <v>3403.48</v>
      </c>
      <c r="J683" s="10">
        <f>IF(Source!BA325&lt;&gt;0,Source!BA325,1)</f>
        <v>20.4</v>
      </c>
      <c r="K683" s="45">
        <f>Source!S325</f>
        <v>69431.04</v>
      </c>
      <c r="W683">
        <f>ROUND((Source!AF325*Source!AV325)*Source!I325,2)</f>
        <v>3403.48</v>
      </c>
    </row>
    <row r="684" spans="1:11" ht="14.25">
      <c r="A684" s="40"/>
      <c r="B684" s="41"/>
      <c r="C684" s="41" t="s">
        <v>555</v>
      </c>
      <c r="D684" s="42"/>
      <c r="E684" s="10"/>
      <c r="F684" s="44">
        <f>Source!AM325</f>
        <v>855.92</v>
      </c>
      <c r="G684" s="43" t="str">
        <f>Source!DE325</f>
        <v>)*1,2)*1,15</v>
      </c>
      <c r="H684" s="10">
        <f>Source!AV325</f>
        <v>1.087</v>
      </c>
      <c r="I684" s="45">
        <f>ROUND(((((((Source!ET325*1.2)*1.15))-(((Source!EU325*1.2)*1.15)))+Source!AE325)*Source!AV325)*Source!I325,2)</f>
        <v>9565.29</v>
      </c>
      <c r="J684" s="10">
        <f>IF(Source!BB325&lt;&gt;0,Source!BB325,1)</f>
        <v>6.43</v>
      </c>
      <c r="K684" s="45">
        <f>Source!Q325</f>
        <v>61504.81</v>
      </c>
    </row>
    <row r="685" spans="1:23" ht="14.25">
      <c r="A685" s="40"/>
      <c r="B685" s="41"/>
      <c r="C685" s="41" t="s">
        <v>556</v>
      </c>
      <c r="D685" s="42"/>
      <c r="E685" s="10"/>
      <c r="F685" s="44">
        <f>Source!AN325</f>
        <v>58.19</v>
      </c>
      <c r="G685" s="43" t="str">
        <f>Source!DF325</f>
        <v>)*1,2)*1,15</v>
      </c>
      <c r="H685" s="10">
        <f>Source!AV325</f>
        <v>1.087</v>
      </c>
      <c r="I685" s="47">
        <f>ROUND((Source!AE325*Source!AV325)*Source!I325,2)</f>
        <v>650.3</v>
      </c>
      <c r="J685" s="10">
        <f>IF(Source!BS325&lt;&gt;0,Source!BS325,1)</f>
        <v>20.4</v>
      </c>
      <c r="K685" s="47">
        <f>Source!R325</f>
        <v>13266.1</v>
      </c>
      <c r="W685">
        <f>ROUND((Source!AE325*Source!AV325)*Source!I325,2)</f>
        <v>650.3</v>
      </c>
    </row>
    <row r="686" spans="1:11" ht="14.25">
      <c r="A686" s="40"/>
      <c r="B686" s="41"/>
      <c r="C686" s="41" t="s">
        <v>557</v>
      </c>
      <c r="D686" s="42"/>
      <c r="E686" s="10"/>
      <c r="F686" s="44">
        <f>Source!AL325</f>
        <v>130.9</v>
      </c>
      <c r="G686" s="43">
        <f>Source!DD325</f>
      </c>
      <c r="H686" s="10">
        <f>Source!AW325</f>
        <v>1</v>
      </c>
      <c r="I686" s="45">
        <f>ROUND((Source!AC325*Source!AW325)*Source!I325,2)</f>
        <v>975.21</v>
      </c>
      <c r="J686" s="10">
        <f>IF(Source!BC325&lt;&gt;0,Source!BC325,1)</f>
        <v>5.23</v>
      </c>
      <c r="K686" s="45">
        <f>Source!P325</f>
        <v>5100.32</v>
      </c>
    </row>
    <row r="687" spans="1:27" ht="27">
      <c r="A687" s="40" t="str">
        <f>Source!E326</f>
        <v>62,1</v>
      </c>
      <c r="B687" s="41" t="str">
        <f>Source!F326</f>
        <v>прайс</v>
      </c>
      <c r="C687" s="41" t="s">
        <v>593</v>
      </c>
      <c r="D687" s="42" t="str">
        <f>Source!H326</f>
        <v>ШТ</v>
      </c>
      <c r="E687" s="10">
        <f>Source!I326</f>
        <v>745</v>
      </c>
      <c r="F687" s="44">
        <f>Source!AK326</f>
        <v>181.36</v>
      </c>
      <c r="G687" s="54" t="s">
        <v>6</v>
      </c>
      <c r="H687" s="10">
        <f>Source!AW326</f>
        <v>1</v>
      </c>
      <c r="I687" s="45">
        <f>ROUND((Source!AC326*Source!AW326)*Source!I326,2)+ROUND(((((Source!ET326)-(Source!EU326))+Source!AE326)*Source!AV326)*Source!I326,2)+ROUND((Source!AF326*Source!AV326)*Source!I326,2)</f>
        <v>135113.2</v>
      </c>
      <c r="J687" s="10">
        <f>IF(Source!BC326&lt;&gt;0,Source!BC326,1)</f>
        <v>1</v>
      </c>
      <c r="K687" s="45">
        <f>Source!O326</f>
        <v>135113.2</v>
      </c>
      <c r="Q687">
        <f>ROUND((Source!DN326/100)*ROUND((Source!AF326*Source!AV326)*Source!I326,2),2)</f>
        <v>0</v>
      </c>
      <c r="R687">
        <f>Source!X326</f>
        <v>0</v>
      </c>
      <c r="S687">
        <f>ROUND((Source!DO326/100)*ROUND((Source!AF326*Source!AV326)*Source!I326,2),2)</f>
        <v>0</v>
      </c>
      <c r="T687">
        <f>Source!Y326</f>
        <v>0</v>
      </c>
      <c r="U687">
        <f>ROUND((175/100)*ROUND((Source!AE326*Source!AV326)*Source!I326,2),2)</f>
        <v>0</v>
      </c>
      <c r="V687">
        <f>ROUND((167/100)*ROUND(Source!CS326*Source!I326,2),2)</f>
        <v>0</v>
      </c>
      <c r="X687">
        <f>IF(Source!BI326&lt;=1,I687,0)</f>
        <v>0</v>
      </c>
      <c r="Y687">
        <f>IF(Source!BI326=2,I687,0)</f>
        <v>135113.2</v>
      </c>
      <c r="Z687">
        <f>IF(Source!BI326=3,I687,0)</f>
        <v>0</v>
      </c>
      <c r="AA687">
        <f>IF(Source!BI326=4,I687,0)</f>
        <v>0</v>
      </c>
    </row>
    <row r="688" spans="1:11" ht="14.25">
      <c r="A688" s="40"/>
      <c r="B688" s="41"/>
      <c r="C688" s="41" t="s">
        <v>558</v>
      </c>
      <c r="D688" s="42" t="s">
        <v>559</v>
      </c>
      <c r="E688" s="10">
        <f>Source!DN325</f>
        <v>112</v>
      </c>
      <c r="F688" s="44"/>
      <c r="G688" s="43"/>
      <c r="H688" s="10"/>
      <c r="I688" s="45">
        <f>SUM(Q681:Q687)</f>
        <v>3811.9</v>
      </c>
      <c r="J688" s="10">
        <f>Source!BZ325</f>
        <v>90</v>
      </c>
      <c r="K688" s="45">
        <f>SUM(R681:R687)</f>
        <v>62487.94</v>
      </c>
    </row>
    <row r="689" spans="1:11" ht="14.25">
      <c r="A689" s="40"/>
      <c r="B689" s="41"/>
      <c r="C689" s="41" t="s">
        <v>560</v>
      </c>
      <c r="D689" s="42" t="s">
        <v>559</v>
      </c>
      <c r="E689" s="10">
        <f>Source!DO325</f>
        <v>70</v>
      </c>
      <c r="F689" s="44"/>
      <c r="G689" s="43"/>
      <c r="H689" s="10"/>
      <c r="I689" s="45">
        <f>SUM(S681:S688)</f>
        <v>2382.44</v>
      </c>
      <c r="J689" s="10">
        <f>Source!CA325</f>
        <v>43</v>
      </c>
      <c r="K689" s="45">
        <f>SUM(T681:T688)</f>
        <v>29855.35</v>
      </c>
    </row>
    <row r="690" spans="1:11" ht="14.25">
      <c r="A690" s="40"/>
      <c r="B690" s="41"/>
      <c r="C690" s="41" t="s">
        <v>561</v>
      </c>
      <c r="D690" s="42" t="s">
        <v>559</v>
      </c>
      <c r="E690" s="10">
        <f>175</f>
        <v>175</v>
      </c>
      <c r="F690" s="44"/>
      <c r="G690" s="43"/>
      <c r="H690" s="10"/>
      <c r="I690" s="45">
        <f>SUM(U681:U689)</f>
        <v>1138.03</v>
      </c>
      <c r="J690" s="10">
        <f>167</f>
        <v>167</v>
      </c>
      <c r="K690" s="45">
        <f>SUM(V681:V689)</f>
        <v>22154.39</v>
      </c>
    </row>
    <row r="691" spans="1:28" ht="14.25">
      <c r="A691" s="40"/>
      <c r="B691" s="41"/>
      <c r="C691" s="41" t="s">
        <v>562</v>
      </c>
      <c r="D691" s="42" t="s">
        <v>563</v>
      </c>
      <c r="E691" s="10">
        <f>Source!AQ325</f>
        <v>24.7</v>
      </c>
      <c r="F691" s="44"/>
      <c r="G691" s="43" t="str">
        <f>Source!DI325</f>
        <v>)*1,2)*1,15</v>
      </c>
      <c r="H691" s="10">
        <f>Source!AV325</f>
        <v>1.087</v>
      </c>
      <c r="I691" s="45">
        <f>Source!U325</f>
        <v>276.03354089999993</v>
      </c>
      <c r="J691" s="10"/>
      <c r="K691" s="45"/>
      <c r="AB691" s="48">
        <f>I691</f>
        <v>276.03354089999993</v>
      </c>
    </row>
    <row r="692" spans="1:27" ht="15">
      <c r="A692" s="51"/>
      <c r="B692" s="51"/>
      <c r="C692" s="52" t="s">
        <v>564</v>
      </c>
      <c r="D692" s="51"/>
      <c r="E692" s="51"/>
      <c r="F692" s="51"/>
      <c r="G692" s="51"/>
      <c r="H692" s="53">
        <f>I683+I684+I686+I688+I689+I690+SUM(I687:I687)</f>
        <v>156389.55000000002</v>
      </c>
      <c r="I692" s="53"/>
      <c r="J692" s="53">
        <f>K683+K684+K686+K688+K689+K690+SUM(K687:K687)</f>
        <v>385647.05</v>
      </c>
      <c r="K692" s="53"/>
      <c r="O692" s="48">
        <f>H692</f>
        <v>156389.55000000002</v>
      </c>
      <c r="P692" s="48">
        <f>J692</f>
        <v>385647.05</v>
      </c>
      <c r="X692">
        <f>IF(Source!BI325&lt;=1,I683+I684+I686+I688+I689+I690-0,0)</f>
        <v>0</v>
      </c>
      <c r="Y692">
        <f>IF(Source!BI325=2,I683+I684+I686+I688+I689+I690-0,0)</f>
        <v>21276.35</v>
      </c>
      <c r="Z692">
        <f>IF(Source!BI325=3,I683+I684+I686+I688+I689+I690-0,0)</f>
        <v>0</v>
      </c>
      <c r="AA692">
        <f>IF(Source!BI325=4,I683+I684+I686+I688+I689+I690,0)</f>
        <v>0</v>
      </c>
    </row>
    <row r="694" spans="1:22" ht="116.25">
      <c r="A694" s="40" t="str">
        <f>Source!E327</f>
        <v>63</v>
      </c>
      <c r="B694" s="41" t="s">
        <v>594</v>
      </c>
      <c r="C694" s="41" t="str">
        <f>Source!G327</f>
        <v>КОНСТРУКЦИИ МЕТАЛЛИЧЕСКИЕ КАБЕЛЬНЫЕ, ПОЛКА КАБЕЛЬНАЯ, УСТАНАВЛИВАЕМАЯ НА СТОЙКАХ, МАССА: ДО 0,9 КГ</v>
      </c>
      <c r="D694" s="42" t="str">
        <f>Source!H327</f>
        <v>100 шт.</v>
      </c>
      <c r="E694" s="10">
        <f>Source!I327</f>
        <v>7.45</v>
      </c>
      <c r="F694" s="44"/>
      <c r="G694" s="43"/>
      <c r="H694" s="10"/>
      <c r="I694" s="45"/>
      <c r="J694" s="10"/>
      <c r="K694" s="45"/>
      <c r="Q694">
        <f>ROUND((Source!DN327/100)*ROUND((Source!AF327*Source!AV327)*Source!I327,2),2)</f>
        <v>317.92</v>
      </c>
      <c r="R694">
        <f>Source!X327</f>
        <v>5211.6</v>
      </c>
      <c r="S694">
        <f>ROUND((Source!DO327/100)*ROUND((Source!AF327*Source!AV327)*Source!I327,2),2)</f>
        <v>198.7</v>
      </c>
      <c r="T694">
        <f>Source!Y327</f>
        <v>2489.99</v>
      </c>
      <c r="U694">
        <f>ROUND((175/100)*ROUND((Source!AE327*Source!AV327)*Source!I327,2),2)</f>
        <v>115.4</v>
      </c>
      <c r="V694">
        <f>ROUND((167/100)*ROUND(Source!CS327*Source!I327,2),2)</f>
        <v>2246.28</v>
      </c>
    </row>
    <row r="695" ht="12.75">
      <c r="C695" s="46" t="str">
        <f>"Объем: "&amp;Source!I327&amp;"=745/"&amp;"100"</f>
        <v>Объем: 7,45=745/100</v>
      </c>
    </row>
    <row r="696" spans="1:23" ht="14.25">
      <c r="A696" s="40"/>
      <c r="B696" s="41"/>
      <c r="C696" s="41" t="s">
        <v>554</v>
      </c>
      <c r="D696" s="42"/>
      <c r="E696" s="10"/>
      <c r="F696" s="44">
        <f>Source!AO327</f>
        <v>25.4</v>
      </c>
      <c r="G696" s="43" t="str">
        <f>Source!DG327</f>
        <v>)*1,2)*1,15</v>
      </c>
      <c r="H696" s="10">
        <f>Source!AV327</f>
        <v>1.087</v>
      </c>
      <c r="I696" s="45">
        <f>ROUND((Source!AF327*Source!AV327)*Source!I327,2)</f>
        <v>283.86</v>
      </c>
      <c r="J696" s="10">
        <f>IF(Source!BA327&lt;&gt;0,Source!BA327,1)</f>
        <v>20.4</v>
      </c>
      <c r="K696" s="45">
        <f>Source!S327</f>
        <v>5790.67</v>
      </c>
      <c r="W696">
        <f>ROUND((Source!AF327*Source!AV327)*Source!I327,2)</f>
        <v>283.86</v>
      </c>
    </row>
    <row r="697" spans="1:11" ht="14.25">
      <c r="A697" s="40"/>
      <c r="B697" s="41"/>
      <c r="C697" s="41" t="s">
        <v>555</v>
      </c>
      <c r="D697" s="42"/>
      <c r="E697" s="10"/>
      <c r="F697" s="44">
        <f>Source!AM327</f>
        <v>25.4</v>
      </c>
      <c r="G697" s="43" t="str">
        <f>Source!DE327</f>
        <v>)*1,2)*1,15</v>
      </c>
      <c r="H697" s="10">
        <f>Source!AV327</f>
        <v>1.087</v>
      </c>
      <c r="I697" s="45">
        <f>ROUND(((((((Source!ET327*1.2)*1.15))-(((Source!EU327*1.2)*1.15)))+Source!AE327)*Source!AV327)*Source!I327,2)</f>
        <v>283.86</v>
      </c>
      <c r="J697" s="10">
        <f>IF(Source!BB327&lt;&gt;0,Source!BB327,1)</f>
        <v>8.89</v>
      </c>
      <c r="K697" s="45">
        <f>Source!Q327</f>
        <v>2523.48</v>
      </c>
    </row>
    <row r="698" spans="1:23" ht="14.25">
      <c r="A698" s="40"/>
      <c r="B698" s="41"/>
      <c r="C698" s="41" t="s">
        <v>556</v>
      </c>
      <c r="D698" s="42"/>
      <c r="E698" s="10"/>
      <c r="F698" s="44">
        <f>Source!AN327</f>
        <v>5.9</v>
      </c>
      <c r="G698" s="43" t="str">
        <f>Source!DF327</f>
        <v>)*1,2)*1,15</v>
      </c>
      <c r="H698" s="10">
        <f>Source!AV327</f>
        <v>1.087</v>
      </c>
      <c r="I698" s="47">
        <f>ROUND((Source!AE327*Source!AV327)*Source!I327,2)</f>
        <v>65.94</v>
      </c>
      <c r="J698" s="10">
        <f>IF(Source!BS327&lt;&gt;0,Source!BS327,1)</f>
        <v>20.4</v>
      </c>
      <c r="K698" s="47">
        <f>Source!R327</f>
        <v>1345.08</v>
      </c>
      <c r="W698">
        <f>ROUND((Source!AE327*Source!AV327)*Source!I327,2)</f>
        <v>65.94</v>
      </c>
    </row>
    <row r="699" spans="1:11" ht="14.25">
      <c r="A699" s="40"/>
      <c r="B699" s="41"/>
      <c r="C699" s="41" t="s">
        <v>557</v>
      </c>
      <c r="D699" s="42"/>
      <c r="E699" s="10"/>
      <c r="F699" s="44">
        <f>Source!AL327</f>
        <v>3.92</v>
      </c>
      <c r="G699" s="43">
        <f>Source!DD327</f>
      </c>
      <c r="H699" s="10">
        <f>Source!AW327</f>
        <v>1</v>
      </c>
      <c r="I699" s="45">
        <f>ROUND((Source!AC327*Source!AW327)*Source!I327,2)</f>
        <v>29.2</v>
      </c>
      <c r="J699" s="10">
        <f>IF(Source!BC327&lt;&gt;0,Source!BC327,1)</f>
        <v>5.23</v>
      </c>
      <c r="K699" s="45">
        <f>Source!P327</f>
        <v>152.74</v>
      </c>
    </row>
    <row r="700" spans="1:27" ht="27">
      <c r="A700" s="40" t="str">
        <f>Source!E328</f>
        <v>63,1</v>
      </c>
      <c r="B700" s="41" t="str">
        <f>Source!F328</f>
        <v>прайс</v>
      </c>
      <c r="C700" s="41" t="s">
        <v>602</v>
      </c>
      <c r="D700" s="42" t="str">
        <f>Source!H328</f>
        <v>ШТ</v>
      </c>
      <c r="E700" s="10">
        <f>Source!I328</f>
        <v>745</v>
      </c>
      <c r="F700" s="44">
        <f>Source!AK328</f>
        <v>130.51</v>
      </c>
      <c r="G700" s="54" t="s">
        <v>6</v>
      </c>
      <c r="H700" s="10">
        <f>Source!AW328</f>
        <v>1</v>
      </c>
      <c r="I700" s="45">
        <f>ROUND((Source!AC328*Source!AW328)*Source!I328,2)+ROUND(((((Source!ET328)-(Source!EU328))+Source!AE328)*Source!AV328)*Source!I328,2)+ROUND((Source!AF328*Source!AV328)*Source!I328,2)</f>
        <v>97229.95</v>
      </c>
      <c r="J700" s="10">
        <f>IF(Source!BC328&lt;&gt;0,Source!BC328,1)</f>
        <v>1</v>
      </c>
      <c r="K700" s="45">
        <f>Source!O328</f>
        <v>97229.95</v>
      </c>
      <c r="Q700">
        <f>ROUND((Source!DN328/100)*ROUND((Source!AF328*Source!AV328)*Source!I328,2),2)</f>
        <v>0</v>
      </c>
      <c r="R700">
        <f>Source!X328</f>
        <v>0</v>
      </c>
      <c r="S700">
        <f>ROUND((Source!DO328/100)*ROUND((Source!AF328*Source!AV328)*Source!I328,2),2)</f>
        <v>0</v>
      </c>
      <c r="T700">
        <f>Source!Y328</f>
        <v>0</v>
      </c>
      <c r="U700">
        <f>ROUND((175/100)*ROUND((Source!AE328*Source!AV328)*Source!I328,2),2)</f>
        <v>0</v>
      </c>
      <c r="V700">
        <f>ROUND((167/100)*ROUND(Source!CS328*Source!I328,2),2)</f>
        <v>0</v>
      </c>
      <c r="X700">
        <f>IF(Source!BI328&lt;=1,I700,0)</f>
        <v>0</v>
      </c>
      <c r="Y700">
        <f>IF(Source!BI328=2,I700,0)</f>
        <v>97229.95</v>
      </c>
      <c r="Z700">
        <f>IF(Source!BI328=3,I700,0)</f>
        <v>0</v>
      </c>
      <c r="AA700">
        <f>IF(Source!BI328=4,I700,0)</f>
        <v>0</v>
      </c>
    </row>
    <row r="701" spans="1:11" ht="14.25">
      <c r="A701" s="40"/>
      <c r="B701" s="41"/>
      <c r="C701" s="41" t="s">
        <v>558</v>
      </c>
      <c r="D701" s="42" t="s">
        <v>559</v>
      </c>
      <c r="E701" s="10">
        <f>Source!DN327</f>
        <v>112</v>
      </c>
      <c r="F701" s="44"/>
      <c r="G701" s="43"/>
      <c r="H701" s="10"/>
      <c r="I701" s="45">
        <f>SUM(Q694:Q700)</f>
        <v>317.92</v>
      </c>
      <c r="J701" s="10">
        <f>Source!BZ327</f>
        <v>90</v>
      </c>
      <c r="K701" s="45">
        <f>SUM(R694:R700)</f>
        <v>5211.6</v>
      </c>
    </row>
    <row r="702" spans="1:11" ht="14.25">
      <c r="A702" s="40"/>
      <c r="B702" s="41"/>
      <c r="C702" s="41" t="s">
        <v>560</v>
      </c>
      <c r="D702" s="42" t="s">
        <v>559</v>
      </c>
      <c r="E702" s="10">
        <f>Source!DO327</f>
        <v>70</v>
      </c>
      <c r="F702" s="44"/>
      <c r="G702" s="43"/>
      <c r="H702" s="10"/>
      <c r="I702" s="45">
        <f>SUM(S694:S701)</f>
        <v>198.7</v>
      </c>
      <c r="J702" s="10">
        <f>Source!CA327</f>
        <v>43</v>
      </c>
      <c r="K702" s="45">
        <f>SUM(T694:T701)</f>
        <v>2489.99</v>
      </c>
    </row>
    <row r="703" spans="1:11" ht="14.25">
      <c r="A703" s="40"/>
      <c r="B703" s="41"/>
      <c r="C703" s="41" t="s">
        <v>561</v>
      </c>
      <c r="D703" s="42" t="s">
        <v>559</v>
      </c>
      <c r="E703" s="10">
        <f>175</f>
        <v>175</v>
      </c>
      <c r="F703" s="44"/>
      <c r="G703" s="43"/>
      <c r="H703" s="10"/>
      <c r="I703" s="45">
        <f>SUM(U694:U702)</f>
        <v>115.4</v>
      </c>
      <c r="J703" s="10">
        <f>167</f>
        <v>167</v>
      </c>
      <c r="K703" s="45">
        <f>SUM(V694:V702)</f>
        <v>2246.28</v>
      </c>
    </row>
    <row r="704" spans="1:28" ht="14.25">
      <c r="A704" s="40"/>
      <c r="B704" s="41"/>
      <c r="C704" s="41" t="s">
        <v>562</v>
      </c>
      <c r="D704" s="42" t="s">
        <v>563</v>
      </c>
      <c r="E704" s="10">
        <f>Source!AQ327</f>
        <v>2.06</v>
      </c>
      <c r="F704" s="44"/>
      <c r="G704" s="43" t="str">
        <f>Source!DI327</f>
        <v>)*1,2)*1,15</v>
      </c>
      <c r="H704" s="10">
        <f>Source!AV327</f>
        <v>1.087</v>
      </c>
      <c r="I704" s="45">
        <f>Source!U327</f>
        <v>23.021420819999996</v>
      </c>
      <c r="J704" s="10"/>
      <c r="K704" s="45"/>
      <c r="AB704" s="48">
        <f>I704</f>
        <v>23.021420819999996</v>
      </c>
    </row>
    <row r="705" spans="1:27" ht="15">
      <c r="A705" s="51"/>
      <c r="B705" s="51"/>
      <c r="C705" s="52" t="s">
        <v>564</v>
      </c>
      <c r="D705" s="51"/>
      <c r="E705" s="51"/>
      <c r="F705" s="51"/>
      <c r="G705" s="51"/>
      <c r="H705" s="53">
        <f>I696+I697+I699+I701+I702+I703+SUM(I700:I700)</f>
        <v>98458.89</v>
      </c>
      <c r="I705" s="53"/>
      <c r="J705" s="53">
        <f>K696+K697+K699+K701+K702+K703+SUM(K700:K700)</f>
        <v>115644.70999999999</v>
      </c>
      <c r="K705" s="53"/>
      <c r="O705" s="48">
        <f>H705</f>
        <v>98458.89</v>
      </c>
      <c r="P705" s="48">
        <f>J705</f>
        <v>115644.70999999999</v>
      </c>
      <c r="X705">
        <f>IF(Source!BI327&lt;=1,I696+I697+I699+I701+I702+I703-0,0)</f>
        <v>0</v>
      </c>
      <c r="Y705">
        <f>IF(Source!BI327=2,I696+I697+I699+I701+I702+I703-0,0)</f>
        <v>1228.9400000000003</v>
      </c>
      <c r="Z705">
        <f>IF(Source!BI327=3,I696+I697+I699+I701+I702+I703-0,0)</f>
        <v>0</v>
      </c>
      <c r="AA705">
        <f>IF(Source!BI327=4,I696+I697+I699+I701+I702+I703,0)</f>
        <v>0</v>
      </c>
    </row>
    <row r="707" spans="1:22" ht="116.25">
      <c r="A707" s="40" t="str">
        <f>Source!E329</f>
        <v>64</v>
      </c>
      <c r="B707" s="41" t="s">
        <v>596</v>
      </c>
      <c r="C707" s="41" t="str">
        <f>Source!G329</f>
        <v>КАБЕЛИ ДО 35 КВ, ПРОКЛАДЫВАЕМЫЕ ПО УСТАНОВЛЕННЫМ КОНСТРУКЦИЯМ И ЛОТКАМ, КАБЕЛЬ С КРЕПЛЕНИЕМ ПО ВСЕЙ ДЛИНЕ, МАССА 1 М: ДО 9 КГ</v>
      </c>
      <c r="D707" s="42" t="str">
        <f>Source!H329</f>
        <v>100 м</v>
      </c>
      <c r="E707" s="10">
        <f>Source!I329</f>
        <v>22.35</v>
      </c>
      <c r="F707" s="44"/>
      <c r="G707" s="43"/>
      <c r="H707" s="10"/>
      <c r="I707" s="45"/>
      <c r="J707" s="10"/>
      <c r="K707" s="45"/>
      <c r="Q707">
        <f>ROUND((Source!DN329/100)*ROUND((Source!AF329*Source!AV329)*Source!I329,2),2)</f>
        <v>19269.32</v>
      </c>
      <c r="R707">
        <f>Source!X329</f>
        <v>315879.17</v>
      </c>
      <c r="S707">
        <f>ROUND((Source!DO329/100)*ROUND((Source!AF329*Source!AV329)*Source!I329,2),2)</f>
        <v>12043.33</v>
      </c>
      <c r="T707">
        <f>Source!Y329</f>
        <v>150920.05</v>
      </c>
      <c r="U707">
        <f>ROUND((175/100)*ROUND((Source!AE329*Source!AV329)*Source!I329,2),2)</f>
        <v>11469.94</v>
      </c>
      <c r="V707">
        <f>ROUND((167/100)*ROUND(Source!CS329*Source!I329,2),2)</f>
        <v>223290.27</v>
      </c>
    </row>
    <row r="708" ht="12.75">
      <c r="C708" s="46" t="str">
        <f>"Объем: "&amp;Source!I329&amp;"=2235/"&amp;"100"</f>
        <v>Объем: 22,35=2235/100</v>
      </c>
    </row>
    <row r="709" spans="1:23" ht="14.25">
      <c r="A709" s="40"/>
      <c r="B709" s="41"/>
      <c r="C709" s="41" t="s">
        <v>554</v>
      </c>
      <c r="D709" s="42"/>
      <c r="E709" s="10"/>
      <c r="F709" s="44">
        <f>Source!AO329</f>
        <v>522.79</v>
      </c>
      <c r="G709" s="43" t="str">
        <f>Source!DG329</f>
        <v>)*1,15)*1,2</v>
      </c>
      <c r="H709" s="10">
        <f>Source!AV329</f>
        <v>1.067</v>
      </c>
      <c r="I709" s="45">
        <f>ROUND((Source!AF329*Source!AV329)*Source!I329,2)</f>
        <v>17204.75</v>
      </c>
      <c r="J709" s="10">
        <f>IF(Source!BA329&lt;&gt;0,Source!BA329,1)</f>
        <v>20.4</v>
      </c>
      <c r="K709" s="45">
        <f>Source!S329</f>
        <v>350976.85</v>
      </c>
      <c r="W709">
        <f>ROUND((Source!AF329*Source!AV329)*Source!I329,2)</f>
        <v>17204.75</v>
      </c>
    </row>
    <row r="710" spans="1:11" ht="14.25">
      <c r="A710" s="40"/>
      <c r="B710" s="41"/>
      <c r="C710" s="41" t="s">
        <v>555</v>
      </c>
      <c r="D710" s="42"/>
      <c r="E710" s="10"/>
      <c r="F710" s="44">
        <f>Source!AM329</f>
        <v>1223.71</v>
      </c>
      <c r="G710" s="43" t="str">
        <f>Source!DE329</f>
        <v>)*1,15)*1,2</v>
      </c>
      <c r="H710" s="10">
        <f>Source!AV329</f>
        <v>1.067</v>
      </c>
      <c r="I710" s="45">
        <f>ROUND(((((((Source!ET329*1.15)*1.2))-(((Source!EU329*1.15)*1.2)))+Source!AE329)*Source!AV329)*Source!I329,2)</f>
        <v>40271.66</v>
      </c>
      <c r="J710" s="10">
        <f>IF(Source!BB329&lt;&gt;0,Source!BB329,1)</f>
        <v>7.85</v>
      </c>
      <c r="K710" s="45">
        <f>Source!Q329</f>
        <v>316132.54</v>
      </c>
    </row>
    <row r="711" spans="1:23" ht="14.25">
      <c r="A711" s="40"/>
      <c r="B711" s="41"/>
      <c r="C711" s="41" t="s">
        <v>556</v>
      </c>
      <c r="D711" s="42"/>
      <c r="E711" s="10"/>
      <c r="F711" s="44">
        <f>Source!AN329</f>
        <v>199.16</v>
      </c>
      <c r="G711" s="43" t="str">
        <f>Source!DF329</f>
        <v>)*1,15)*1,2</v>
      </c>
      <c r="H711" s="10">
        <f>Source!AV329</f>
        <v>1.067</v>
      </c>
      <c r="I711" s="47">
        <f>ROUND((Source!AE329*Source!AV329)*Source!I329,2)</f>
        <v>6554.25</v>
      </c>
      <c r="J711" s="10">
        <f>IF(Source!BS329&lt;&gt;0,Source!BS329,1)</f>
        <v>20.4</v>
      </c>
      <c r="K711" s="47">
        <f>Source!R329</f>
        <v>133706.75</v>
      </c>
      <c r="W711">
        <f>ROUND((Source!AE329*Source!AV329)*Source!I329,2)</f>
        <v>6554.25</v>
      </c>
    </row>
    <row r="712" spans="1:11" ht="14.25">
      <c r="A712" s="40"/>
      <c r="B712" s="41"/>
      <c r="C712" s="41" t="s">
        <v>557</v>
      </c>
      <c r="D712" s="42"/>
      <c r="E712" s="10"/>
      <c r="F712" s="44">
        <f>Source!AL329</f>
        <v>40.6</v>
      </c>
      <c r="G712" s="43">
        <f>Source!DD329</f>
      </c>
      <c r="H712" s="10">
        <f>Source!AW329</f>
        <v>1.081</v>
      </c>
      <c r="I712" s="45">
        <f>ROUND((Source!AC329*Source!AW329)*Source!I329,2)</f>
        <v>980.91</v>
      </c>
      <c r="J712" s="10">
        <f>IF(Source!BC329&lt;&gt;0,Source!BC329,1)</f>
        <v>5.23</v>
      </c>
      <c r="K712" s="45">
        <f>Source!P329</f>
        <v>5130.16</v>
      </c>
    </row>
    <row r="713" spans="1:11" ht="14.25">
      <c r="A713" s="40"/>
      <c r="B713" s="41"/>
      <c r="C713" s="41" t="s">
        <v>558</v>
      </c>
      <c r="D713" s="42" t="s">
        <v>559</v>
      </c>
      <c r="E713" s="10">
        <f>Source!DN329</f>
        <v>112</v>
      </c>
      <c r="F713" s="44"/>
      <c r="G713" s="43"/>
      <c r="H713" s="10"/>
      <c r="I713" s="45">
        <f>SUM(Q707:Q712)</f>
        <v>19269.32</v>
      </c>
      <c r="J713" s="10">
        <f>Source!BZ329</f>
        <v>90</v>
      </c>
      <c r="K713" s="45">
        <f>SUM(R707:R712)</f>
        <v>315879.17</v>
      </c>
    </row>
    <row r="714" spans="1:11" ht="14.25">
      <c r="A714" s="40"/>
      <c r="B714" s="41"/>
      <c r="C714" s="41" t="s">
        <v>560</v>
      </c>
      <c r="D714" s="42" t="s">
        <v>559</v>
      </c>
      <c r="E714" s="10">
        <f>Source!DO329</f>
        <v>70</v>
      </c>
      <c r="F714" s="44"/>
      <c r="G714" s="43"/>
      <c r="H714" s="10"/>
      <c r="I714" s="45">
        <f>SUM(S707:S713)</f>
        <v>12043.33</v>
      </c>
      <c r="J714" s="10">
        <f>Source!CA329</f>
        <v>43</v>
      </c>
      <c r="K714" s="45">
        <f>SUM(T707:T713)</f>
        <v>150920.05</v>
      </c>
    </row>
    <row r="715" spans="1:11" ht="14.25">
      <c r="A715" s="40"/>
      <c r="B715" s="41"/>
      <c r="C715" s="41" t="s">
        <v>561</v>
      </c>
      <c r="D715" s="42" t="s">
        <v>559</v>
      </c>
      <c r="E715" s="10">
        <f>175</f>
        <v>175</v>
      </c>
      <c r="F715" s="44"/>
      <c r="G715" s="43"/>
      <c r="H715" s="10"/>
      <c r="I715" s="45">
        <f>SUM(U707:U714)</f>
        <v>11469.94</v>
      </c>
      <c r="J715" s="10">
        <f>167</f>
        <v>167</v>
      </c>
      <c r="K715" s="45">
        <f>SUM(V707:V714)</f>
        <v>223290.27</v>
      </c>
    </row>
    <row r="716" spans="1:28" ht="14.25">
      <c r="A716" s="40"/>
      <c r="B716" s="41"/>
      <c r="C716" s="41" t="s">
        <v>562</v>
      </c>
      <c r="D716" s="42" t="s">
        <v>563</v>
      </c>
      <c r="E716" s="10">
        <f>Source!AQ329</f>
        <v>42.4</v>
      </c>
      <c r="F716" s="44"/>
      <c r="G716" s="43" t="str">
        <f>Source!DI329</f>
        <v>)*1,15)*1,2</v>
      </c>
      <c r="H716" s="10">
        <f>Source!AV329</f>
        <v>1.067</v>
      </c>
      <c r="I716" s="45">
        <f>Source!U329</f>
        <v>1395.3619943999997</v>
      </c>
      <c r="J716" s="10"/>
      <c r="K716" s="45"/>
      <c r="AB716" s="48">
        <f>I716</f>
        <v>1395.3619943999997</v>
      </c>
    </row>
    <row r="717" spans="1:27" ht="15">
      <c r="A717" s="51"/>
      <c r="B717" s="51"/>
      <c r="C717" s="52" t="s">
        <v>564</v>
      </c>
      <c r="D717" s="51"/>
      <c r="E717" s="51"/>
      <c r="F717" s="51"/>
      <c r="G717" s="51"/>
      <c r="H717" s="53">
        <f>I709+I710+I712+I713+I714+I715</f>
        <v>101239.91000000002</v>
      </c>
      <c r="I717" s="53"/>
      <c r="J717" s="53">
        <f>K709+K710+K712+K713+K714+K715</f>
        <v>1362329.04</v>
      </c>
      <c r="K717" s="53"/>
      <c r="O717" s="48">
        <f>H717</f>
        <v>101239.91000000002</v>
      </c>
      <c r="P717" s="48">
        <f>J717</f>
        <v>1362329.04</v>
      </c>
      <c r="X717">
        <f>IF(Source!BI329&lt;=1,I709+I710+I712+I713+I714+I715-0,0)</f>
        <v>0</v>
      </c>
      <c r="Y717">
        <f>IF(Source!BI329=2,I709+I710+I712+I713+I714+I715-0,0)</f>
        <v>101239.91000000002</v>
      </c>
      <c r="Z717">
        <f>IF(Source!BI329=3,I709+I710+I712+I713+I714+I715-0,0)</f>
        <v>0</v>
      </c>
      <c r="AA717">
        <f>IF(Source!BI329=4,I709+I710+I712+I713+I714+I715,0)</f>
        <v>0</v>
      </c>
    </row>
    <row r="719" spans="1:22" ht="54">
      <c r="A719" s="40" t="str">
        <f>Source!E330</f>
        <v>65</v>
      </c>
      <c r="B719" s="41" t="str">
        <f>Source!F330</f>
        <v>прайс</v>
      </c>
      <c r="C719" s="41" t="s">
        <v>597</v>
      </c>
      <c r="D719" s="42" t="str">
        <f>Source!H330</f>
        <v>м</v>
      </c>
      <c r="E719" s="10">
        <f>Source!I330</f>
        <v>2279</v>
      </c>
      <c r="F719" s="44">
        <f>Source!AL330</f>
        <v>1151.69</v>
      </c>
      <c r="G719" s="43">
        <f>Source!DD330</f>
      </c>
      <c r="H719" s="10">
        <f>Source!AW330</f>
        <v>1</v>
      </c>
      <c r="I719" s="45">
        <f>ROUND((Source!AC330*Source!AW330)*Source!I330,2)</f>
        <v>2624701.51</v>
      </c>
      <c r="J719" s="10">
        <f>IF(Source!BC330&lt;&gt;0,Source!BC330,1)</f>
        <v>1</v>
      </c>
      <c r="K719" s="45">
        <f>Source!P330</f>
        <v>2624701.51</v>
      </c>
      <c r="Q719">
        <f>ROUND((Source!DN330/100)*ROUND((Source!AF330*Source!AV330)*Source!I330,2),2)</f>
        <v>0</v>
      </c>
      <c r="R719">
        <f>Source!X330</f>
        <v>0</v>
      </c>
      <c r="S719">
        <f>ROUND((Source!DO330/100)*ROUND((Source!AF330*Source!AV330)*Source!I330,2),2)</f>
        <v>0</v>
      </c>
      <c r="T719">
        <f>Source!Y330</f>
        <v>0</v>
      </c>
      <c r="U719">
        <f>ROUND((175/100)*ROUND((Source!AE330*Source!AV330)*Source!I330,2),2)</f>
        <v>0</v>
      </c>
      <c r="V719">
        <f>ROUND((167/100)*ROUND(Source!CS330*Source!I330,2),2)</f>
        <v>0</v>
      </c>
    </row>
    <row r="720" spans="1:27" ht="15">
      <c r="A720" s="51"/>
      <c r="B720" s="51"/>
      <c r="C720" s="52" t="s">
        <v>564</v>
      </c>
      <c r="D720" s="51"/>
      <c r="E720" s="51"/>
      <c r="F720" s="51"/>
      <c r="G720" s="51"/>
      <c r="H720" s="53">
        <f>I719</f>
        <v>2624701.51</v>
      </c>
      <c r="I720" s="53"/>
      <c r="J720" s="53">
        <f>K719</f>
        <v>2624701.51</v>
      </c>
      <c r="K720" s="53"/>
      <c r="O720" s="48">
        <f>H720</f>
        <v>2624701.51</v>
      </c>
      <c r="P720" s="48">
        <f>J720</f>
        <v>2624701.51</v>
      </c>
      <c r="X720">
        <f>IF(Source!BI330&lt;=1,I719-0,0)</f>
        <v>2624701.51</v>
      </c>
      <c r="Y720">
        <f>IF(Source!BI330=2,I719-0,0)</f>
        <v>0</v>
      </c>
      <c r="Z720">
        <f>IF(Source!BI330=3,I719-0,0)</f>
        <v>0</v>
      </c>
      <c r="AA720">
        <f>IF(Source!BI330=4,I719,0)</f>
        <v>0</v>
      </c>
    </row>
    <row r="722" spans="1:22" ht="85.5">
      <c r="A722" s="40" t="str">
        <f>Source!E331</f>
        <v>66</v>
      </c>
      <c r="B722" s="41" t="s">
        <v>578</v>
      </c>
      <c r="C722" s="41" t="str">
        <f>Source!G331</f>
        <v>МУФТЫ СОЕДИНИТЕЛЬНЫЕ ДЛЯ ОДНОЖИЛЬНОГО ЭКРАНИРОВАННОГО КАБЕЛЯ С ИЗОЛЯЦИЕЙ ИЗ СШИТОГО ПОЛИЭТИЛЕНА, НАПРЯЖЕНИЕМ ДО 35 КВ</v>
      </c>
      <c r="D722" s="42" t="str">
        <f>Source!H331</f>
        <v>ШТ</v>
      </c>
      <c r="E722" s="10">
        <f>Source!I331</f>
        <v>3</v>
      </c>
      <c r="F722" s="44"/>
      <c r="G722" s="43"/>
      <c r="H722" s="10"/>
      <c r="I722" s="45"/>
      <c r="J722" s="10"/>
      <c r="K722" s="45"/>
      <c r="Q722">
        <f>ROUND((Source!DN331/100)*ROUND((Source!AF331*Source!AV331)*Source!I331,2),2)</f>
        <v>858.64</v>
      </c>
      <c r="R722">
        <f>Source!X331</f>
        <v>14075.56</v>
      </c>
      <c r="S722">
        <f>ROUND((Source!DO331/100)*ROUND((Source!AF331*Source!AV331)*Source!I331,2),2)</f>
        <v>536.65</v>
      </c>
      <c r="T722">
        <f>Source!Y331</f>
        <v>6724.99</v>
      </c>
      <c r="U722">
        <f>ROUND((175/100)*ROUND((Source!AE331*Source!AV331)*Source!I331,2),2)</f>
        <v>29.77</v>
      </c>
      <c r="V722">
        <f>ROUND((167/100)*ROUND(Source!CS331*Source!I331,2),2)</f>
        <v>579.61</v>
      </c>
    </row>
    <row r="723" spans="1:23" ht="14.25">
      <c r="A723" s="40"/>
      <c r="B723" s="41"/>
      <c r="C723" s="41" t="s">
        <v>554</v>
      </c>
      <c r="D723" s="42"/>
      <c r="E723" s="10"/>
      <c r="F723" s="44">
        <f>Source!AO331</f>
        <v>212.24</v>
      </c>
      <c r="G723" s="43" t="str">
        <f>Source!DG331</f>
        <v>)*1,15</v>
      </c>
      <c r="H723" s="10">
        <f>Source!AV331</f>
        <v>1.047</v>
      </c>
      <c r="I723" s="45">
        <f>ROUND((Source!AF331*Source!AV331)*Source!I331,2)</f>
        <v>766.64</v>
      </c>
      <c r="J723" s="10">
        <f>IF(Source!BA331&lt;&gt;0,Source!BA331,1)</f>
        <v>20.4</v>
      </c>
      <c r="K723" s="45">
        <f>Source!S331</f>
        <v>15639.51</v>
      </c>
      <c r="W723">
        <f>ROUND((Source!AF331*Source!AV331)*Source!I331,2)</f>
        <v>766.64</v>
      </c>
    </row>
    <row r="724" spans="1:11" ht="14.25">
      <c r="A724" s="40"/>
      <c r="B724" s="41"/>
      <c r="C724" s="41" t="s">
        <v>555</v>
      </c>
      <c r="D724" s="42"/>
      <c r="E724" s="10"/>
      <c r="F724" s="44">
        <f>Source!AM331</f>
        <v>53.54</v>
      </c>
      <c r="G724" s="43" t="str">
        <f>Source!DE331</f>
        <v>)*1,15</v>
      </c>
      <c r="H724" s="10">
        <f>Source!AV331</f>
        <v>1.047</v>
      </c>
      <c r="I724" s="45">
        <f>ROUND((((((Source!ET331*1.15))-((Source!EU331*1.15)))+Source!AE331)*Source!AV331)*Source!I331,2)</f>
        <v>193.39</v>
      </c>
      <c r="J724" s="10">
        <f>IF(Source!BB331&lt;&gt;0,Source!BB331,1)</f>
        <v>6.73</v>
      </c>
      <c r="K724" s="45">
        <f>Source!Q331</f>
        <v>1301.55</v>
      </c>
    </row>
    <row r="725" spans="1:23" ht="14.25">
      <c r="A725" s="40"/>
      <c r="B725" s="41"/>
      <c r="C725" s="41" t="s">
        <v>556</v>
      </c>
      <c r="D725" s="42"/>
      <c r="E725" s="10"/>
      <c r="F725" s="44">
        <f>Source!AN331</f>
        <v>4.71</v>
      </c>
      <c r="G725" s="43" t="str">
        <f>Source!DF331</f>
        <v>)*1,15</v>
      </c>
      <c r="H725" s="10">
        <f>Source!AV331</f>
        <v>1.047</v>
      </c>
      <c r="I725" s="47">
        <f>ROUND((Source!AE331*Source!AV331)*Source!I331,2)</f>
        <v>17.01</v>
      </c>
      <c r="J725" s="10">
        <f>IF(Source!BS331&lt;&gt;0,Source!BS331,1)</f>
        <v>20.4</v>
      </c>
      <c r="K725" s="47">
        <f>Source!R331</f>
        <v>347.07</v>
      </c>
      <c r="W725">
        <f>ROUND((Source!AE331*Source!AV331)*Source!I331,2)</f>
        <v>17.01</v>
      </c>
    </row>
    <row r="726" spans="1:11" ht="14.25">
      <c r="A726" s="40"/>
      <c r="B726" s="41"/>
      <c r="C726" s="41" t="s">
        <v>557</v>
      </c>
      <c r="D726" s="42"/>
      <c r="E726" s="10"/>
      <c r="F726" s="44">
        <f>Source!AL331</f>
        <v>61.32</v>
      </c>
      <c r="G726" s="43">
        <f>Source!DD331</f>
      </c>
      <c r="H726" s="10">
        <f>Source!AW331</f>
        <v>1</v>
      </c>
      <c r="I726" s="45">
        <f>ROUND((Source!AC331*Source!AW331)*Source!I331,2)</f>
        <v>183.96</v>
      </c>
      <c r="J726" s="10">
        <f>IF(Source!BC331&lt;&gt;0,Source!BC331,1)</f>
        <v>5.23</v>
      </c>
      <c r="K726" s="45">
        <f>Source!P331</f>
        <v>962.11</v>
      </c>
    </row>
    <row r="727" spans="1:27" ht="54">
      <c r="A727" s="40" t="str">
        <f>Source!E332</f>
        <v>66,1</v>
      </c>
      <c r="B727" s="41" t="str">
        <f>Source!F332</f>
        <v>прайс</v>
      </c>
      <c r="C727" s="41" t="s">
        <v>599</v>
      </c>
      <c r="D727" s="42" t="str">
        <f>Source!H332</f>
        <v>ШТ</v>
      </c>
      <c r="E727" s="10">
        <f>Source!I332</f>
        <v>3</v>
      </c>
      <c r="F727" s="44">
        <f>Source!AK332</f>
        <v>22500</v>
      </c>
      <c r="G727" s="54" t="s">
        <v>6</v>
      </c>
      <c r="H727" s="10">
        <f>Source!AW332</f>
        <v>1</v>
      </c>
      <c r="I727" s="45">
        <f>ROUND((Source!AC332*Source!AW332)*Source!I332,2)+ROUND(((((Source!ET332)-(Source!EU332))+Source!AE332)*Source!AV332)*Source!I332,2)+ROUND((Source!AF332*Source!AV332)*Source!I332,2)</f>
        <v>67500</v>
      </c>
      <c r="J727" s="10">
        <f>IF(Source!BC332&lt;&gt;0,Source!BC332,1)</f>
        <v>1</v>
      </c>
      <c r="K727" s="45">
        <f>Source!O332</f>
        <v>67500</v>
      </c>
      <c r="Q727">
        <f>ROUND((Source!DN332/100)*ROUND((Source!AF332*Source!AV332)*Source!I332,2),2)</f>
        <v>0</v>
      </c>
      <c r="R727">
        <f>Source!X332</f>
        <v>0</v>
      </c>
      <c r="S727">
        <f>ROUND((Source!DO332/100)*ROUND((Source!AF332*Source!AV332)*Source!I332,2),2)</f>
        <v>0</v>
      </c>
      <c r="T727">
        <f>Source!Y332</f>
        <v>0</v>
      </c>
      <c r="U727">
        <f>ROUND((175/100)*ROUND((Source!AE332*Source!AV332)*Source!I332,2),2)</f>
        <v>0</v>
      </c>
      <c r="V727">
        <f>ROUND((167/100)*ROUND(Source!CS332*Source!I332,2),2)</f>
        <v>0</v>
      </c>
      <c r="X727">
        <f>IF(Source!BI332&lt;=1,I727,0)</f>
        <v>0</v>
      </c>
      <c r="Y727">
        <f>IF(Source!BI332=2,I727,0)</f>
        <v>67500</v>
      </c>
      <c r="Z727">
        <f>IF(Source!BI332=3,I727,0)</f>
        <v>0</v>
      </c>
      <c r="AA727">
        <f>IF(Source!BI332=4,I727,0)</f>
        <v>0</v>
      </c>
    </row>
    <row r="728" spans="1:11" ht="14.25">
      <c r="A728" s="40"/>
      <c r="B728" s="41"/>
      <c r="C728" s="41" t="s">
        <v>558</v>
      </c>
      <c r="D728" s="42" t="s">
        <v>559</v>
      </c>
      <c r="E728" s="10">
        <f>Source!DN331</f>
        <v>112</v>
      </c>
      <c r="F728" s="44"/>
      <c r="G728" s="43"/>
      <c r="H728" s="10"/>
      <c r="I728" s="45">
        <f>SUM(Q722:Q727)</f>
        <v>858.64</v>
      </c>
      <c r="J728" s="10">
        <f>Source!BZ331</f>
        <v>90</v>
      </c>
      <c r="K728" s="45">
        <f>SUM(R722:R727)</f>
        <v>14075.56</v>
      </c>
    </row>
    <row r="729" spans="1:11" ht="14.25">
      <c r="A729" s="40"/>
      <c r="B729" s="41"/>
      <c r="C729" s="41" t="s">
        <v>560</v>
      </c>
      <c r="D729" s="42" t="s">
        <v>559</v>
      </c>
      <c r="E729" s="10">
        <f>Source!DO331</f>
        <v>70</v>
      </c>
      <c r="F729" s="44"/>
      <c r="G729" s="43"/>
      <c r="H729" s="10"/>
      <c r="I729" s="45">
        <f>SUM(S722:S728)</f>
        <v>536.65</v>
      </c>
      <c r="J729" s="10">
        <f>Source!CA331</f>
        <v>43</v>
      </c>
      <c r="K729" s="45">
        <f>SUM(T722:T728)</f>
        <v>6724.99</v>
      </c>
    </row>
    <row r="730" spans="1:11" ht="14.25">
      <c r="A730" s="40"/>
      <c r="B730" s="41"/>
      <c r="C730" s="41" t="s">
        <v>561</v>
      </c>
      <c r="D730" s="42" t="s">
        <v>559</v>
      </c>
      <c r="E730" s="10">
        <f>175</f>
        <v>175</v>
      </c>
      <c r="F730" s="44"/>
      <c r="G730" s="43"/>
      <c r="H730" s="10"/>
      <c r="I730" s="45">
        <f>SUM(U722:U729)</f>
        <v>29.77</v>
      </c>
      <c r="J730" s="10">
        <f>167</f>
        <v>167</v>
      </c>
      <c r="K730" s="45">
        <f>SUM(V722:V729)</f>
        <v>579.61</v>
      </c>
    </row>
    <row r="731" spans="1:28" ht="14.25">
      <c r="A731" s="40"/>
      <c r="B731" s="41"/>
      <c r="C731" s="41" t="s">
        <v>562</v>
      </c>
      <c r="D731" s="42" t="s">
        <v>563</v>
      </c>
      <c r="E731" s="10">
        <f>Source!AQ331</f>
        <v>16.14</v>
      </c>
      <c r="F731" s="44"/>
      <c r="G731" s="43" t="str">
        <f>Source!DI331</f>
        <v>)*1,15</v>
      </c>
      <c r="H731" s="10">
        <f>Source!AV331</f>
        <v>1.047</v>
      </c>
      <c r="I731" s="45">
        <f>Source!U331</f>
        <v>58.30010099999999</v>
      </c>
      <c r="J731" s="10"/>
      <c r="K731" s="45"/>
      <c r="AB731" s="48">
        <f>I731</f>
        <v>58.30010099999999</v>
      </c>
    </row>
    <row r="732" spans="1:27" ht="15">
      <c r="A732" s="51"/>
      <c r="B732" s="51"/>
      <c r="C732" s="52" t="s">
        <v>564</v>
      </c>
      <c r="D732" s="51"/>
      <c r="E732" s="51"/>
      <c r="F732" s="51"/>
      <c r="G732" s="51"/>
      <c r="H732" s="53">
        <f>I723+I724+I726+I728+I729+I730+SUM(I727:I727)</f>
        <v>70069.05</v>
      </c>
      <c r="I732" s="53"/>
      <c r="J732" s="53">
        <f>K723+K724+K726+K728+K729+K730+SUM(K727:K727)</f>
        <v>106783.33</v>
      </c>
      <c r="K732" s="53"/>
      <c r="O732" s="48">
        <f>H732</f>
        <v>70069.05</v>
      </c>
      <c r="P732" s="48">
        <f>J732</f>
        <v>106783.33</v>
      </c>
      <c r="X732">
        <f>IF(Source!BI331&lt;=1,I723+I724+I726+I728+I729+I730-0,0)</f>
        <v>0</v>
      </c>
      <c r="Y732">
        <f>IF(Source!BI331=2,I723+I724+I726+I728+I729+I730-0,0)</f>
        <v>2569.05</v>
      </c>
      <c r="Z732">
        <f>IF(Source!BI331=3,I723+I724+I726+I728+I729+I730-0,0)</f>
        <v>0</v>
      </c>
      <c r="AA732">
        <f>IF(Source!BI331=4,I723+I724+I726+I728+I729+I730,0)</f>
        <v>0</v>
      </c>
    </row>
    <row r="734" spans="1:22" ht="116.25">
      <c r="A734" s="40" t="str">
        <f>Source!E333</f>
        <v>67</v>
      </c>
      <c r="B734" s="41" t="s">
        <v>600</v>
      </c>
      <c r="C734" s="41" t="str">
        <f>Source!G333</f>
        <v>ПЛИТЫ АСБЕСТОЦЕМЕНТНЫЕ МЕЖДУ ПРОЛОЖЕННЫМИ КАБЕЛЯМИ НА КАБЕЛЬНЫХ КОНСТРУКЦИЯХ</v>
      </c>
      <c r="D734" s="42" t="str">
        <f>Source!H333</f>
        <v>100 м2</v>
      </c>
      <c r="E734" s="10">
        <f>Source!I333</f>
        <v>3.72</v>
      </c>
      <c r="F734" s="44"/>
      <c r="G734" s="43"/>
      <c r="H734" s="10"/>
      <c r="I734" s="45"/>
      <c r="J734" s="10"/>
      <c r="K734" s="45"/>
      <c r="Q734">
        <f>ROUND((Source!DN333/100)*ROUND((Source!AF333*Source!AV333)*Source!I333,2),2)</f>
        <v>1870.49</v>
      </c>
      <c r="R734">
        <f>Source!X333</f>
        <v>30662.71</v>
      </c>
      <c r="S734">
        <f>ROUND((Source!DO333/100)*ROUND((Source!AF333*Source!AV333)*Source!I333,2),2)</f>
        <v>1169.06</v>
      </c>
      <c r="T734">
        <f>Source!Y333</f>
        <v>14649.96</v>
      </c>
      <c r="U734">
        <f>ROUND((175/100)*ROUND((Source!AE333*Source!AV333)*Source!I333,2),2)</f>
        <v>425.34</v>
      </c>
      <c r="V734">
        <f>ROUND((167/100)*ROUND(Source!CS333*Source!I333,2),2)</f>
        <v>8280.29</v>
      </c>
    </row>
    <row r="735" ht="12.75">
      <c r="C735" s="46" t="str">
        <f>"Объем: "&amp;Source!I333&amp;"=372/"&amp;"100"</f>
        <v>Объем: 3,72=372/100</v>
      </c>
    </row>
    <row r="736" spans="1:23" ht="14.25">
      <c r="A736" s="40"/>
      <c r="B736" s="41"/>
      <c r="C736" s="41" t="s">
        <v>554</v>
      </c>
      <c r="D736" s="42"/>
      <c r="E736" s="10"/>
      <c r="F736" s="44">
        <f>Source!AO333</f>
        <v>310.72</v>
      </c>
      <c r="G736" s="43" t="str">
        <f>Source!DG333</f>
        <v>)*1,2)*1,15</v>
      </c>
      <c r="H736" s="10">
        <f>Source!AV333</f>
        <v>1.047</v>
      </c>
      <c r="I736" s="45">
        <f>ROUND((Source!AF333*Source!AV333)*Source!I333,2)</f>
        <v>1670.08</v>
      </c>
      <c r="J736" s="10">
        <f>IF(Source!BA333&lt;&gt;0,Source!BA333,1)</f>
        <v>20.4</v>
      </c>
      <c r="K736" s="45">
        <f>Source!S333</f>
        <v>34069.68</v>
      </c>
      <c r="W736">
        <f>ROUND((Source!AF333*Source!AV333)*Source!I333,2)</f>
        <v>1670.08</v>
      </c>
    </row>
    <row r="737" spans="1:11" ht="14.25">
      <c r="A737" s="40"/>
      <c r="B737" s="41"/>
      <c r="C737" s="41" t="s">
        <v>555</v>
      </c>
      <c r="D737" s="42"/>
      <c r="E737" s="10"/>
      <c r="F737" s="44">
        <f>Source!AM333</f>
        <v>194.72</v>
      </c>
      <c r="G737" s="43" t="str">
        <f>Source!DE333</f>
        <v>)*1,2)*1,15</v>
      </c>
      <c r="H737" s="10">
        <f>Source!AV333</f>
        <v>1.047</v>
      </c>
      <c r="I737" s="45">
        <f>ROUND(((((((Source!ET333*1.2)*1.15))-(((Source!EU333*1.2)*1.15)))+Source!AE333)*Source!AV333)*Source!I333,2)</f>
        <v>1046.6</v>
      </c>
      <c r="J737" s="10">
        <f>IF(Source!BB333&lt;&gt;0,Source!BB333,1)</f>
        <v>8.89</v>
      </c>
      <c r="K737" s="45">
        <f>Source!Q333</f>
        <v>9304.24</v>
      </c>
    </row>
    <row r="738" spans="1:23" ht="14.25">
      <c r="A738" s="40"/>
      <c r="B738" s="41"/>
      <c r="C738" s="41" t="s">
        <v>556</v>
      </c>
      <c r="D738" s="42"/>
      <c r="E738" s="10"/>
      <c r="F738" s="44">
        <f>Source!AN333</f>
        <v>45.22</v>
      </c>
      <c r="G738" s="43" t="str">
        <f>Source!DF333</f>
        <v>)*1,2)*1,15</v>
      </c>
      <c r="H738" s="10">
        <f>Source!AV333</f>
        <v>1.047</v>
      </c>
      <c r="I738" s="47">
        <f>ROUND((Source!AE333*Source!AV333)*Source!I333,2)</f>
        <v>243.05</v>
      </c>
      <c r="J738" s="10">
        <f>IF(Source!BS333&lt;&gt;0,Source!BS333,1)</f>
        <v>20.4</v>
      </c>
      <c r="K738" s="47">
        <f>Source!R333</f>
        <v>4958.26</v>
      </c>
      <c r="W738">
        <f>ROUND((Source!AE333*Source!AV333)*Source!I333,2)</f>
        <v>243.05</v>
      </c>
    </row>
    <row r="739" spans="1:11" ht="14.25">
      <c r="A739" s="40"/>
      <c r="B739" s="41"/>
      <c r="C739" s="41" t="s">
        <v>557</v>
      </c>
      <c r="D739" s="42"/>
      <c r="E739" s="10"/>
      <c r="F739" s="44">
        <f>Source!AL333</f>
        <v>280</v>
      </c>
      <c r="G739" s="43">
        <f>Source!DD333</f>
      </c>
      <c r="H739" s="10">
        <f>Source!AW333</f>
        <v>1</v>
      </c>
      <c r="I739" s="45">
        <f>ROUND((Source!AC333*Source!AW333)*Source!I333,2)</f>
        <v>1041.6</v>
      </c>
      <c r="J739" s="10">
        <f>IF(Source!BC333&lt;&gt;0,Source!BC333,1)</f>
        <v>5.23</v>
      </c>
      <c r="K739" s="45">
        <f>Source!P333</f>
        <v>5447.57</v>
      </c>
    </row>
    <row r="740" spans="1:27" ht="39.75">
      <c r="A740" s="40" t="str">
        <f>Source!E334</f>
        <v>67,1</v>
      </c>
      <c r="B740" s="41" t="str">
        <f>Source!F334</f>
        <v>прайс</v>
      </c>
      <c r="C740" s="41" t="s">
        <v>601</v>
      </c>
      <c r="D740" s="42" t="str">
        <f>Source!H334</f>
        <v>ШТ</v>
      </c>
      <c r="E740" s="10">
        <f>Source!I334</f>
        <v>620</v>
      </c>
      <c r="F740" s="44">
        <f>Source!AK334</f>
        <v>1025.42</v>
      </c>
      <c r="G740" s="54" t="s">
        <v>6</v>
      </c>
      <c r="H740" s="10">
        <f>Source!AW334</f>
        <v>1</v>
      </c>
      <c r="I740" s="45">
        <f>ROUND((Source!AC334*Source!AW334)*Source!I334,2)+ROUND(((((Source!ET334)-(Source!EU334))+Source!AE334)*Source!AV334)*Source!I334,2)+ROUND((Source!AF334*Source!AV334)*Source!I334,2)</f>
        <v>635760.4</v>
      </c>
      <c r="J740" s="10">
        <f>IF(Source!BC334&lt;&gt;0,Source!BC334,1)</f>
        <v>1</v>
      </c>
      <c r="K740" s="45">
        <f>Source!O334</f>
        <v>635760.4</v>
      </c>
      <c r="Q740">
        <f>ROUND((Source!DN334/100)*ROUND((Source!AF334*Source!AV334)*Source!I334,2),2)</f>
        <v>0</v>
      </c>
      <c r="R740">
        <f>Source!X334</f>
        <v>0</v>
      </c>
      <c r="S740">
        <f>ROUND((Source!DO334/100)*ROUND((Source!AF334*Source!AV334)*Source!I334,2),2)</f>
        <v>0</v>
      </c>
      <c r="T740">
        <f>Source!Y334</f>
        <v>0</v>
      </c>
      <c r="U740">
        <f>ROUND((175/100)*ROUND((Source!AE334*Source!AV334)*Source!I334,2),2)</f>
        <v>0</v>
      </c>
      <c r="V740">
        <f>ROUND((167/100)*ROUND(Source!CS334*Source!I334,2),2)</f>
        <v>0</v>
      </c>
      <c r="X740">
        <f>IF(Source!BI334&lt;=1,I740,0)</f>
        <v>0</v>
      </c>
      <c r="Y740">
        <f>IF(Source!BI334=2,I740,0)</f>
        <v>635760.4</v>
      </c>
      <c r="Z740">
        <f>IF(Source!BI334=3,I740,0)</f>
        <v>0</v>
      </c>
      <c r="AA740">
        <f>IF(Source!BI334=4,I740,0)</f>
        <v>0</v>
      </c>
    </row>
    <row r="741" spans="1:11" ht="14.25">
      <c r="A741" s="40"/>
      <c r="B741" s="41"/>
      <c r="C741" s="41" t="s">
        <v>558</v>
      </c>
      <c r="D741" s="42" t="s">
        <v>559</v>
      </c>
      <c r="E741" s="10">
        <f>Source!DN333</f>
        <v>112</v>
      </c>
      <c r="F741" s="44"/>
      <c r="G741" s="43"/>
      <c r="H741" s="10"/>
      <c r="I741" s="45">
        <f>SUM(Q734:Q740)</f>
        <v>1870.49</v>
      </c>
      <c r="J741" s="10">
        <f>Source!BZ333</f>
        <v>90</v>
      </c>
      <c r="K741" s="45">
        <f>SUM(R734:R740)</f>
        <v>30662.71</v>
      </c>
    </row>
    <row r="742" spans="1:11" ht="14.25">
      <c r="A742" s="40"/>
      <c r="B742" s="41"/>
      <c r="C742" s="41" t="s">
        <v>560</v>
      </c>
      <c r="D742" s="42" t="s">
        <v>559</v>
      </c>
      <c r="E742" s="10">
        <f>Source!DO333</f>
        <v>70</v>
      </c>
      <c r="F742" s="44"/>
      <c r="G742" s="43"/>
      <c r="H742" s="10"/>
      <c r="I742" s="45">
        <f>SUM(S734:S741)</f>
        <v>1169.06</v>
      </c>
      <c r="J742" s="10">
        <f>Source!CA333</f>
        <v>43</v>
      </c>
      <c r="K742" s="45">
        <f>SUM(T734:T741)</f>
        <v>14649.96</v>
      </c>
    </row>
    <row r="743" spans="1:11" ht="14.25">
      <c r="A743" s="40"/>
      <c r="B743" s="41"/>
      <c r="C743" s="41" t="s">
        <v>561</v>
      </c>
      <c r="D743" s="42" t="s">
        <v>559</v>
      </c>
      <c r="E743" s="10">
        <f>175</f>
        <v>175</v>
      </c>
      <c r="F743" s="44"/>
      <c r="G743" s="43"/>
      <c r="H743" s="10"/>
      <c r="I743" s="45">
        <f>SUM(U734:U742)</f>
        <v>425.34</v>
      </c>
      <c r="J743" s="10">
        <f>167</f>
        <v>167</v>
      </c>
      <c r="K743" s="45">
        <f>SUM(V734:V742)</f>
        <v>8280.29</v>
      </c>
    </row>
    <row r="744" spans="1:28" ht="14.25">
      <c r="A744" s="40"/>
      <c r="B744" s="41"/>
      <c r="C744" s="41" t="s">
        <v>562</v>
      </c>
      <c r="D744" s="42" t="s">
        <v>563</v>
      </c>
      <c r="E744" s="10">
        <f>Source!AQ333</f>
        <v>25.2</v>
      </c>
      <c r="F744" s="44"/>
      <c r="G744" s="43" t="str">
        <f>Source!DI333</f>
        <v>)*1,2)*1,15</v>
      </c>
      <c r="H744" s="10">
        <f>Source!AV333</f>
        <v>1.047</v>
      </c>
      <c r="I744" s="45">
        <f>Source!U333</f>
        <v>135.44695584</v>
      </c>
      <c r="J744" s="10"/>
      <c r="K744" s="45"/>
      <c r="AB744" s="48">
        <f>I744</f>
        <v>135.44695584</v>
      </c>
    </row>
    <row r="745" spans="1:27" ht="15">
      <c r="A745" s="51"/>
      <c r="B745" s="51"/>
      <c r="C745" s="52" t="s">
        <v>564</v>
      </c>
      <c r="D745" s="51"/>
      <c r="E745" s="51"/>
      <c r="F745" s="51"/>
      <c r="G745" s="51"/>
      <c r="H745" s="53">
        <f>I736+I737+I739+I741+I742+I743+SUM(I740:I740)</f>
        <v>642983.5700000001</v>
      </c>
      <c r="I745" s="53"/>
      <c r="J745" s="53">
        <f>K736+K737+K739+K741+K742+K743+SUM(K740:K740)</f>
        <v>738174.8500000001</v>
      </c>
      <c r="K745" s="53"/>
      <c r="O745" s="48">
        <f>H745</f>
        <v>642983.5700000001</v>
      </c>
      <c r="P745" s="48">
        <f>J745</f>
        <v>738174.8500000001</v>
      </c>
      <c r="X745">
        <f>IF(Source!BI333&lt;=1,I736+I737+I739+I741+I742+I743-0,0)</f>
        <v>0</v>
      </c>
      <c r="Y745">
        <f>IF(Source!BI333=2,I736+I737+I739+I741+I742+I743-0,0)</f>
        <v>7223.17</v>
      </c>
      <c r="Z745">
        <f>IF(Source!BI333=3,I736+I737+I739+I741+I742+I743-0,0)</f>
        <v>0</v>
      </c>
      <c r="AA745">
        <f>IF(Source!BI333=4,I736+I737+I739+I741+I742+I743,0)</f>
        <v>0</v>
      </c>
    </row>
    <row r="748" spans="1:32" ht="15">
      <c r="A748" s="56" t="str">
        <f>CONCATENATE("Итого по подразделу: ",IF(Source!G336&lt;&gt;"Новый подраздел",Source!G336,""))</f>
        <v>Итого по подразделу: КЛ-20 кВ по кабельному коллектору  ПК0 - ПК73</v>
      </c>
      <c r="B748" s="56"/>
      <c r="C748" s="56"/>
      <c r="D748" s="56"/>
      <c r="E748" s="56"/>
      <c r="F748" s="56"/>
      <c r="G748" s="56"/>
      <c r="H748" s="50">
        <f>SUM(O680:O747)</f>
        <v>3693842.4799999995</v>
      </c>
      <c r="I748" s="55"/>
      <c r="J748" s="50">
        <f>SUM(P680:P747)</f>
        <v>5333280.49</v>
      </c>
      <c r="K748" s="55"/>
      <c r="AF748" s="57" t="str">
        <f>CONCATENATE("Итого по подразделу: ",IF(Source!G336&lt;&gt;"Новый подраздел",Source!G336,""))</f>
        <v>Итого по подразделу: КЛ-20 кВ по кабельному коллектору  ПК0 - ПК73</v>
      </c>
    </row>
    <row r="750" spans="1:32" ht="15">
      <c r="A750" s="56" t="str">
        <f>CONCATENATE("Итого по разделу: ",IF(Source!G362&lt;&gt;"Новый раздел",Source!G362,""))</f>
        <v>Итого по разделу: ПКЛ-20 кВ от ПС "Никулино"</v>
      </c>
      <c r="B750" s="56"/>
      <c r="C750" s="56"/>
      <c r="D750" s="56"/>
      <c r="E750" s="56"/>
      <c r="F750" s="56"/>
      <c r="G750" s="56"/>
      <c r="H750" s="50">
        <f>SUM(O34:O749)</f>
        <v>24059758.2</v>
      </c>
      <c r="I750" s="55"/>
      <c r="J750" s="50">
        <f>SUM(P34:P749)</f>
        <v>45531612.49000001</v>
      </c>
      <c r="K750" s="55"/>
      <c r="AF750" s="57" t="str">
        <f>CONCATENATE("Итого по разделу: ",IF(Source!G362&lt;&gt;"Новый раздел",Source!G362,""))</f>
        <v>Итого по разделу: ПКЛ-20 кВ от ПС "Никулино"</v>
      </c>
    </row>
    <row r="752" spans="1:32" ht="15">
      <c r="A752" s="56" t="str">
        <f>CONCATENATE("Итого по локальной смете: ",IF(Source!G388&lt;&gt;"Новая локальная смета",Source!G388,""))</f>
        <v>Итого по локальной смете: </v>
      </c>
      <c r="B752" s="56"/>
      <c r="C752" s="56"/>
      <c r="D752" s="56"/>
      <c r="E752" s="56"/>
      <c r="F752" s="56"/>
      <c r="G752" s="56"/>
      <c r="H752" s="50">
        <f>SUM(O33:O751)</f>
        <v>24059758.2</v>
      </c>
      <c r="I752" s="55"/>
      <c r="J752" s="50">
        <f>SUM(P33:P751)</f>
        <v>45531612.49000001</v>
      </c>
      <c r="K752" s="55"/>
      <c r="AF752" s="57" t="str">
        <f>CONCATENATE("Итого по локальной смете: ",IF(Source!G388&lt;&gt;"Новая локальная смета",Source!G388,""))</f>
        <v>Итого по локальной смете: </v>
      </c>
    </row>
    <row r="754" spans="1:32" ht="15">
      <c r="A754" s="56" t="str">
        <f>CONCATENATE("Итого по смете: ",IF(Source!G414&lt;&gt;"Новый объект",Source!G414,""))</f>
        <v>Итого по смете: Строительство КЛ-20 кВ от ПС Никулино до РП-20 кВ ЦОД МО РФ_(4)</v>
      </c>
      <c r="B754" s="56"/>
      <c r="C754" s="56"/>
      <c r="D754" s="56"/>
      <c r="E754" s="56"/>
      <c r="F754" s="56"/>
      <c r="G754" s="56"/>
      <c r="H754" s="50">
        <f>SUM(O1:O753)</f>
        <v>24059758.2</v>
      </c>
      <c r="I754" s="55"/>
      <c r="J754" s="50">
        <f>SUM(P1:P753)</f>
        <v>45531612.49000001</v>
      </c>
      <c r="K754" s="55"/>
      <c r="AF754" s="57" t="str">
        <f>CONCATENATE("Итого по смете: ",IF(Source!G414&lt;&gt;"Новый объект",Source!G414,""))</f>
        <v>Итого по смете: Строительство КЛ-20 кВ от ПС Никулино до РП-20 кВ ЦОД МО РФ_(4)</v>
      </c>
    </row>
    <row r="755" spans="3:34" ht="14.25">
      <c r="C755" s="58" t="str">
        <f>Source!H439</f>
        <v>Итого</v>
      </c>
      <c r="D755" s="58"/>
      <c r="E755" s="58"/>
      <c r="F755" s="58"/>
      <c r="G755" s="58"/>
      <c r="H755" s="58"/>
      <c r="I755" s="58"/>
      <c r="J755" s="49">
        <f>IF(Source!F439=0,"",Source!F439)</f>
        <v>45531612.49</v>
      </c>
      <c r="K755" s="49"/>
      <c r="AH755" s="59" t="s">
        <v>393</v>
      </c>
    </row>
    <row r="756" spans="3:34" ht="14.25">
      <c r="C756" s="58" t="str">
        <f>Source!H440</f>
        <v>НДС 18%</v>
      </c>
      <c r="D756" s="58"/>
      <c r="E756" s="58"/>
      <c r="F756" s="58"/>
      <c r="G756" s="58"/>
      <c r="H756" s="58"/>
      <c r="I756" s="58"/>
      <c r="J756" s="49">
        <f>IF(Source!F440=0,"",Source!F440)</f>
        <v>8195690.25</v>
      </c>
      <c r="K756" s="49"/>
      <c r="AH756" s="59" t="s">
        <v>394</v>
      </c>
    </row>
    <row r="757" spans="3:34" ht="14.25">
      <c r="C757" s="58" t="str">
        <f>Source!H441</f>
        <v>Всего</v>
      </c>
      <c r="D757" s="58"/>
      <c r="E757" s="58"/>
      <c r="F757" s="58"/>
      <c r="G757" s="58"/>
      <c r="H757" s="58"/>
      <c r="I757" s="58"/>
      <c r="J757" s="49">
        <f>IF(Source!F441=0,"",Source!F441)</f>
        <v>53727302.74</v>
      </c>
      <c r="K757" s="49"/>
      <c r="AH757" s="59" t="s">
        <v>141</v>
      </c>
    </row>
    <row r="760" spans="1:11" ht="14.25">
      <c r="A760" s="60" t="s">
        <v>603</v>
      </c>
      <c r="B760" s="60"/>
      <c r="C760" s="61" t="str">
        <f>IF(Source!AC12&lt;&gt;"",Source!AC12," ")</f>
        <v>Инженер-сметчик</v>
      </c>
      <c r="D760" s="61"/>
      <c r="E760" s="61"/>
      <c r="F760" s="61"/>
      <c r="G760" s="61"/>
      <c r="H760" s="11" t="str">
        <f>IF(Source!AB12&lt;&gt;"",Source!AB12," ")</f>
        <v>Никифоров А.А.</v>
      </c>
      <c r="I760" s="11"/>
      <c r="J760" s="11"/>
      <c r="K760" s="11"/>
    </row>
    <row r="761" spans="1:11" ht="14.25">
      <c r="A761" s="11"/>
      <c r="B761" s="11"/>
      <c r="C761" s="21" t="s">
        <v>604</v>
      </c>
      <c r="D761" s="21"/>
      <c r="E761" s="21"/>
      <c r="F761" s="21"/>
      <c r="G761" s="21"/>
      <c r="H761" s="11"/>
      <c r="I761" s="11"/>
      <c r="J761" s="11"/>
      <c r="K761" s="11"/>
    </row>
    <row r="762" spans="1:11" ht="14.25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</row>
    <row r="763" spans="1:11" ht="14.25">
      <c r="A763" s="60" t="s">
        <v>605</v>
      </c>
      <c r="B763" s="60"/>
      <c r="C763" s="61" t="str">
        <f>IF(Source!AE12&lt;&gt;"",Source!AE12," ")</f>
        <v> </v>
      </c>
      <c r="D763" s="61"/>
      <c r="E763" s="61"/>
      <c r="F763" s="61"/>
      <c r="G763" s="61"/>
      <c r="H763" s="11" t="str">
        <f>IF(Source!AD12&lt;&gt;"",Source!AD12," ")</f>
        <v> </v>
      </c>
      <c r="I763" s="11"/>
      <c r="J763" s="11"/>
      <c r="K763" s="11"/>
    </row>
    <row r="764" spans="1:11" ht="14.25">
      <c r="A764" s="11"/>
      <c r="B764" s="11"/>
      <c r="C764" s="21" t="s">
        <v>604</v>
      </c>
      <c r="D764" s="21"/>
      <c r="E764" s="21"/>
      <c r="F764" s="21"/>
      <c r="G764" s="21"/>
      <c r="H764" s="11"/>
      <c r="I764" s="11"/>
      <c r="J764" s="11"/>
      <c r="K764" s="11"/>
    </row>
  </sheetData>
  <sheetProtection/>
  <mergeCells count="208">
    <mergeCell ref="A760:B760"/>
    <mergeCell ref="C761:G761"/>
    <mergeCell ref="A763:B763"/>
    <mergeCell ref="C764:G764"/>
    <mergeCell ref="C755:I755"/>
    <mergeCell ref="J755:K755"/>
    <mergeCell ref="C756:I756"/>
    <mergeCell ref="J756:K756"/>
    <mergeCell ref="C757:I757"/>
    <mergeCell ref="J757:K757"/>
    <mergeCell ref="J752:K752"/>
    <mergeCell ref="H752:I752"/>
    <mergeCell ref="A752:G752"/>
    <mergeCell ref="J754:K754"/>
    <mergeCell ref="H754:I754"/>
    <mergeCell ref="A754:G754"/>
    <mergeCell ref="J748:K748"/>
    <mergeCell ref="H748:I748"/>
    <mergeCell ref="A748:G748"/>
    <mergeCell ref="J750:K750"/>
    <mergeCell ref="H750:I750"/>
    <mergeCell ref="A750:G750"/>
    <mergeCell ref="J720:K720"/>
    <mergeCell ref="H720:I720"/>
    <mergeCell ref="J732:K732"/>
    <mergeCell ref="H732:I732"/>
    <mergeCell ref="J745:K745"/>
    <mergeCell ref="H745:I745"/>
    <mergeCell ref="J692:K692"/>
    <mergeCell ref="H692:I692"/>
    <mergeCell ref="J705:K705"/>
    <mergeCell ref="H705:I705"/>
    <mergeCell ref="J717:K717"/>
    <mergeCell ref="H717:I717"/>
    <mergeCell ref="J675:K675"/>
    <mergeCell ref="H675:I675"/>
    <mergeCell ref="J678:K678"/>
    <mergeCell ref="H678:I678"/>
    <mergeCell ref="A678:G678"/>
    <mergeCell ref="A680:K680"/>
    <mergeCell ref="J638:K638"/>
    <mergeCell ref="H638:I638"/>
    <mergeCell ref="J650:K650"/>
    <mergeCell ref="H650:I650"/>
    <mergeCell ref="J662:K662"/>
    <mergeCell ref="H662:I662"/>
    <mergeCell ref="J610:K610"/>
    <mergeCell ref="H610:I610"/>
    <mergeCell ref="J623:K623"/>
    <mergeCell ref="H623:I623"/>
    <mergeCell ref="J635:K635"/>
    <mergeCell ref="H635:I635"/>
    <mergeCell ref="J593:K593"/>
    <mergeCell ref="H593:I593"/>
    <mergeCell ref="J596:K596"/>
    <mergeCell ref="H596:I596"/>
    <mergeCell ref="A596:G596"/>
    <mergeCell ref="A598:K598"/>
    <mergeCell ref="J567:K567"/>
    <mergeCell ref="H567:I567"/>
    <mergeCell ref="J570:K570"/>
    <mergeCell ref="H570:I570"/>
    <mergeCell ref="J581:K581"/>
    <mergeCell ref="H581:I581"/>
    <mergeCell ref="J540:K540"/>
    <mergeCell ref="H540:I540"/>
    <mergeCell ref="J552:K552"/>
    <mergeCell ref="H552:I552"/>
    <mergeCell ref="J555:K555"/>
    <mergeCell ref="H555:I555"/>
    <mergeCell ref="J523:K523"/>
    <mergeCell ref="H523:I523"/>
    <mergeCell ref="J526:K526"/>
    <mergeCell ref="H526:I526"/>
    <mergeCell ref="J529:K529"/>
    <mergeCell ref="H529:I529"/>
    <mergeCell ref="J498:K498"/>
    <mergeCell ref="H498:I498"/>
    <mergeCell ref="J509:K509"/>
    <mergeCell ref="H509:I509"/>
    <mergeCell ref="J520:K520"/>
    <mergeCell ref="H520:I520"/>
    <mergeCell ref="J482:K482"/>
    <mergeCell ref="H482:I482"/>
    <mergeCell ref="J485:K485"/>
    <mergeCell ref="H485:I485"/>
    <mergeCell ref="A485:G485"/>
    <mergeCell ref="A487:K487"/>
    <mergeCell ref="J464:K464"/>
    <mergeCell ref="H464:I464"/>
    <mergeCell ref="J467:K467"/>
    <mergeCell ref="H467:I467"/>
    <mergeCell ref="J479:K479"/>
    <mergeCell ref="H479:I479"/>
    <mergeCell ref="J428:K428"/>
    <mergeCell ref="H428:I428"/>
    <mergeCell ref="J440:K440"/>
    <mergeCell ref="H440:I440"/>
    <mergeCell ref="J452:K452"/>
    <mergeCell ref="H452:I452"/>
    <mergeCell ref="J411:K411"/>
    <mergeCell ref="H411:I411"/>
    <mergeCell ref="J414:K414"/>
    <mergeCell ref="H414:I414"/>
    <mergeCell ref="A414:G414"/>
    <mergeCell ref="A416:K416"/>
    <mergeCell ref="J393:K393"/>
    <mergeCell ref="H393:I393"/>
    <mergeCell ref="J396:K396"/>
    <mergeCell ref="H396:I396"/>
    <mergeCell ref="J408:K408"/>
    <mergeCell ref="H408:I408"/>
    <mergeCell ref="J356:K356"/>
    <mergeCell ref="H356:I356"/>
    <mergeCell ref="J369:K369"/>
    <mergeCell ref="H369:I369"/>
    <mergeCell ref="J381:K381"/>
    <mergeCell ref="H381:I381"/>
    <mergeCell ref="J319:K319"/>
    <mergeCell ref="H319:I319"/>
    <mergeCell ref="J331:K331"/>
    <mergeCell ref="H331:I331"/>
    <mergeCell ref="J343:K343"/>
    <mergeCell ref="H343:I343"/>
    <mergeCell ref="A282:G282"/>
    <mergeCell ref="A284:K284"/>
    <mergeCell ref="J295:K295"/>
    <mergeCell ref="H295:I295"/>
    <mergeCell ref="J307:K307"/>
    <mergeCell ref="H307:I307"/>
    <mergeCell ref="J268:K268"/>
    <mergeCell ref="H268:I268"/>
    <mergeCell ref="J279:K279"/>
    <mergeCell ref="H279:I279"/>
    <mergeCell ref="J282:K282"/>
    <mergeCell ref="H282:I282"/>
    <mergeCell ref="J245:K245"/>
    <mergeCell ref="H245:I245"/>
    <mergeCell ref="A245:G245"/>
    <mergeCell ref="A247:K247"/>
    <mergeCell ref="J257:K257"/>
    <mergeCell ref="H257:I257"/>
    <mergeCell ref="J227:K227"/>
    <mergeCell ref="H227:I227"/>
    <mergeCell ref="J239:K239"/>
    <mergeCell ref="H239:I239"/>
    <mergeCell ref="J242:K242"/>
    <mergeCell ref="H242:I242"/>
    <mergeCell ref="J200:K200"/>
    <mergeCell ref="H200:I200"/>
    <mergeCell ref="J212:K212"/>
    <mergeCell ref="H212:I212"/>
    <mergeCell ref="J224:K224"/>
    <mergeCell ref="H224:I224"/>
    <mergeCell ref="J173:K173"/>
    <mergeCell ref="H173:I173"/>
    <mergeCell ref="J185:K185"/>
    <mergeCell ref="H185:I185"/>
    <mergeCell ref="J188:K188"/>
    <mergeCell ref="H188:I188"/>
    <mergeCell ref="J148:K148"/>
    <mergeCell ref="H148:I148"/>
    <mergeCell ref="A148:G148"/>
    <mergeCell ref="A150:K150"/>
    <mergeCell ref="J161:K161"/>
    <mergeCell ref="H161:I161"/>
    <mergeCell ref="J122:K122"/>
    <mergeCell ref="H122:I122"/>
    <mergeCell ref="J134:K134"/>
    <mergeCell ref="H134:I134"/>
    <mergeCell ref="J145:K145"/>
    <mergeCell ref="H145:I145"/>
    <mergeCell ref="J85:K85"/>
    <mergeCell ref="H85:I85"/>
    <mergeCell ref="J98:K98"/>
    <mergeCell ref="H98:I98"/>
    <mergeCell ref="J110:K110"/>
    <mergeCell ref="H110:I110"/>
    <mergeCell ref="J47:K47"/>
    <mergeCell ref="H47:I47"/>
    <mergeCell ref="J60:K60"/>
    <mergeCell ref="H60:I60"/>
    <mergeCell ref="J73:K73"/>
    <mergeCell ref="H73:I73"/>
    <mergeCell ref="F25:H25"/>
    <mergeCell ref="F26:H26"/>
    <mergeCell ref="F27:H27"/>
    <mergeCell ref="A30:K30"/>
    <mergeCell ref="A34:K34"/>
    <mergeCell ref="A36:K36"/>
    <mergeCell ref="A16:K16"/>
    <mergeCell ref="A18:K18"/>
    <mergeCell ref="F21:H21"/>
    <mergeCell ref="F22:H22"/>
    <mergeCell ref="F23:H23"/>
    <mergeCell ref="F24:H24"/>
    <mergeCell ref="B7:E7"/>
    <mergeCell ref="G7:K7"/>
    <mergeCell ref="A10:K10"/>
    <mergeCell ref="A11:K11"/>
    <mergeCell ref="A13:K13"/>
    <mergeCell ref="A15:K15"/>
    <mergeCell ref="B3:E3"/>
    <mergeCell ref="G3:K3"/>
    <mergeCell ref="B4:E4"/>
    <mergeCell ref="G4:K4"/>
    <mergeCell ref="B6:E6"/>
    <mergeCell ref="G6:K6"/>
  </mergeCells>
  <printOptions/>
  <pageMargins left="0.4" right="0.2" top="0.4" bottom="0.4" header="0.2" footer="0.2"/>
  <pageSetup horizontalDpi="600" verticalDpi="600" orientation="portrait" paperSize="9" scale="60" r:id="rId1"/>
  <headerFooter>
    <oddHeader>&amp;L&amp;8ООО "ЦЕНТРЭЛЕКТРОСЕРВИС"  Доп. раб. место  FStS-0041803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X451"/>
  <sheetViews>
    <sheetView zoomScalePageLayoutView="0" workbookViewId="0" topLeftCell="A1">
      <selection activeCell="A447" sqref="A447:Z447"/>
    </sheetView>
  </sheetViews>
  <sheetFormatPr defaultColWidth="9.140625" defaultRowHeight="12.75"/>
  <sheetData>
    <row r="1" spans="1:13" ht="12.75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41803</v>
      </c>
      <c r="M1">
        <v>10</v>
      </c>
    </row>
    <row r="12" spans="1:133" ht="12.75">
      <c r="A12" s="1">
        <v>1</v>
      </c>
      <c r="B12" s="1">
        <v>446</v>
      </c>
      <c r="C12" s="1">
        <v>0</v>
      </c>
      <c r="D12" s="1">
        <f>ROW(A414)</f>
        <v>414</v>
      </c>
      <c r="E12" s="1">
        <v>0</v>
      </c>
      <c r="F12" s="1" t="s">
        <v>4</v>
      </c>
      <c r="G12" s="1" t="s">
        <v>5</v>
      </c>
      <c r="H12" s="1" t="s">
        <v>6</v>
      </c>
      <c r="I12" s="1">
        <v>0</v>
      </c>
      <c r="J12" s="1" t="s">
        <v>4</v>
      </c>
      <c r="K12" s="1"/>
      <c r="L12" s="1"/>
      <c r="M12" s="1"/>
      <c r="N12" s="1"/>
      <c r="O12" s="1">
        <v>0</v>
      </c>
      <c r="P12" s="1">
        <v>0</v>
      </c>
      <c r="Q12" s="1">
        <v>0</v>
      </c>
      <c r="R12" s="1">
        <v>167</v>
      </c>
      <c r="S12" s="1"/>
      <c r="T12" s="1"/>
      <c r="U12" s="1" t="s">
        <v>6</v>
      </c>
      <c r="V12" s="1">
        <v>0</v>
      </c>
      <c r="W12" s="1" t="s">
        <v>7</v>
      </c>
      <c r="X12" s="1" t="s">
        <v>6</v>
      </c>
      <c r="Y12" s="1" t="s">
        <v>6</v>
      </c>
      <c r="Z12" s="1" t="s">
        <v>6</v>
      </c>
      <c r="AA12" s="1" t="s">
        <v>6</v>
      </c>
      <c r="AB12" s="1" t="s">
        <v>8</v>
      </c>
      <c r="AC12" s="1" t="s">
        <v>9</v>
      </c>
      <c r="AD12" s="1" t="s">
        <v>6</v>
      </c>
      <c r="AE12" s="1" t="s">
        <v>6</v>
      </c>
      <c r="AF12" s="1" t="s">
        <v>6</v>
      </c>
      <c r="AG12" s="1" t="s">
        <v>6</v>
      </c>
      <c r="AH12" s="1" t="s">
        <v>6</v>
      </c>
      <c r="AI12" s="1" t="s">
        <v>6</v>
      </c>
      <c r="AJ12" s="1" t="s">
        <v>6</v>
      </c>
      <c r="AK12" s="1"/>
      <c r="AL12" s="1" t="s">
        <v>6</v>
      </c>
      <c r="AM12" s="1" t="s">
        <v>6</v>
      </c>
      <c r="AN12" s="1" t="s">
        <v>6</v>
      </c>
      <c r="AO12" s="1"/>
      <c r="AP12" s="1" t="s">
        <v>6</v>
      </c>
      <c r="AQ12" s="1" t="s">
        <v>6</v>
      </c>
      <c r="AR12" s="1" t="s">
        <v>6</v>
      </c>
      <c r="AS12" s="1"/>
      <c r="AT12" s="1"/>
      <c r="AU12" s="1"/>
      <c r="AV12" s="1"/>
      <c r="AW12" s="1"/>
      <c r="AX12" s="1" t="s">
        <v>6</v>
      </c>
      <c r="AY12" s="1" t="s">
        <v>6</v>
      </c>
      <c r="AZ12" s="1" t="s">
        <v>6</v>
      </c>
      <c r="BA12" s="1"/>
      <c r="BB12" s="1"/>
      <c r="BC12" s="1"/>
      <c r="BD12" s="1"/>
      <c r="BE12" s="1"/>
      <c r="BF12" s="1"/>
      <c r="BG12" s="1"/>
      <c r="BH12" s="1" t="s">
        <v>10</v>
      </c>
      <c r="BI12" s="1" t="s">
        <v>11</v>
      </c>
      <c r="BJ12" s="1">
        <v>1</v>
      </c>
      <c r="BK12" s="1">
        <v>1</v>
      </c>
      <c r="BL12" s="1">
        <v>0</v>
      </c>
      <c r="BM12" s="1">
        <v>0</v>
      </c>
      <c r="BN12" s="1">
        <v>1</v>
      </c>
      <c r="BO12" s="1">
        <v>0</v>
      </c>
      <c r="BP12" s="1">
        <v>6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 t="s">
        <v>12</v>
      </c>
      <c r="BZ12" s="1" t="s">
        <v>13</v>
      </c>
      <c r="CA12" s="1" t="s">
        <v>14</v>
      </c>
      <c r="CB12" s="1" t="s">
        <v>14</v>
      </c>
      <c r="CC12" s="1" t="s">
        <v>14</v>
      </c>
      <c r="CD12" s="1" t="s">
        <v>14</v>
      </c>
      <c r="CE12" s="1" t="s">
        <v>15</v>
      </c>
      <c r="CF12" s="1">
        <v>0</v>
      </c>
      <c r="CG12" s="1">
        <v>0</v>
      </c>
      <c r="CH12" s="1">
        <v>0</v>
      </c>
      <c r="CI12" s="1" t="s">
        <v>6</v>
      </c>
      <c r="CJ12" s="1" t="s">
        <v>6</v>
      </c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ht="12.75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118" ht="12.75">
      <c r="A18" s="2">
        <v>52</v>
      </c>
      <c r="B18" s="2">
        <f aca="true" t="shared" si="0" ref="B18:G18">B414</f>
        <v>446</v>
      </c>
      <c r="C18" s="2">
        <f t="shared" si="0"/>
        <v>1</v>
      </c>
      <c r="D18" s="2">
        <f t="shared" si="0"/>
        <v>12</v>
      </c>
      <c r="E18" s="2">
        <f t="shared" si="0"/>
        <v>0</v>
      </c>
      <c r="F18" s="2" t="str">
        <f t="shared" si="0"/>
        <v>ПР-304-18-ЭС</v>
      </c>
      <c r="G18" s="2" t="str">
        <f t="shared" si="0"/>
        <v>Строительство КЛ-20 кВ от ПС Никулино до РП-20 кВ ЦОД МО РФ_(4)</v>
      </c>
      <c r="H18" s="2"/>
      <c r="I18" s="2"/>
      <c r="J18" s="2"/>
      <c r="K18" s="2"/>
      <c r="L18" s="2"/>
      <c r="M18" s="2"/>
      <c r="N18" s="2"/>
      <c r="O18" s="2">
        <f aca="true" t="shared" si="1" ref="O18:AT18">O414</f>
        <v>36529216.99</v>
      </c>
      <c r="P18" s="2">
        <f t="shared" si="1"/>
        <v>24763443.95</v>
      </c>
      <c r="Q18" s="2">
        <f t="shared" si="1"/>
        <v>8466902.39</v>
      </c>
      <c r="R18" s="2">
        <f t="shared" si="1"/>
        <v>2584159.5</v>
      </c>
      <c r="S18" s="2">
        <f t="shared" si="1"/>
        <v>3298870.65</v>
      </c>
      <c r="T18" s="2">
        <f t="shared" si="1"/>
        <v>0</v>
      </c>
      <c r="U18" s="2">
        <f t="shared" si="1"/>
        <v>12910.409576475797</v>
      </c>
      <c r="V18" s="2">
        <f t="shared" si="1"/>
        <v>0</v>
      </c>
      <c r="W18" s="2">
        <f t="shared" si="1"/>
        <v>0</v>
      </c>
      <c r="X18" s="2">
        <f t="shared" si="1"/>
        <v>3079246.07</v>
      </c>
      <c r="Y18" s="2">
        <f t="shared" si="1"/>
        <v>1607603.08</v>
      </c>
      <c r="Z18" s="2">
        <f t="shared" si="1"/>
        <v>0</v>
      </c>
      <c r="AA18" s="2">
        <f t="shared" si="1"/>
        <v>0</v>
      </c>
      <c r="AB18" s="2">
        <f t="shared" si="1"/>
        <v>0</v>
      </c>
      <c r="AC18" s="2">
        <f t="shared" si="1"/>
        <v>0</v>
      </c>
      <c r="AD18" s="2">
        <f t="shared" si="1"/>
        <v>0</v>
      </c>
      <c r="AE18" s="2">
        <f t="shared" si="1"/>
        <v>0</v>
      </c>
      <c r="AF18" s="2">
        <f t="shared" si="1"/>
        <v>0</v>
      </c>
      <c r="AG18" s="2">
        <f t="shared" si="1"/>
        <v>0</v>
      </c>
      <c r="AH18" s="2">
        <f t="shared" si="1"/>
        <v>0</v>
      </c>
      <c r="AI18" s="2">
        <f t="shared" si="1"/>
        <v>0</v>
      </c>
      <c r="AJ18" s="2">
        <f t="shared" si="1"/>
        <v>0</v>
      </c>
      <c r="AK18" s="2">
        <f t="shared" si="1"/>
        <v>0</v>
      </c>
      <c r="AL18" s="2">
        <f t="shared" si="1"/>
        <v>0</v>
      </c>
      <c r="AM18" s="2">
        <f t="shared" si="1"/>
        <v>0</v>
      </c>
      <c r="AN18" s="2">
        <f t="shared" si="1"/>
        <v>0</v>
      </c>
      <c r="AO18" s="2">
        <f t="shared" si="1"/>
        <v>0</v>
      </c>
      <c r="AP18" s="2">
        <f t="shared" si="1"/>
        <v>0</v>
      </c>
      <c r="AQ18" s="2">
        <f t="shared" si="1"/>
        <v>0</v>
      </c>
      <c r="AR18" s="2">
        <f t="shared" si="1"/>
        <v>45531612.49</v>
      </c>
      <c r="AS18" s="2">
        <f t="shared" si="1"/>
        <v>34525468.53</v>
      </c>
      <c r="AT18" s="2">
        <f t="shared" si="1"/>
        <v>10501660.8</v>
      </c>
      <c r="AU18" s="2">
        <f aca="true" t="shared" si="2" ref="AU18:BZ18">AU414</f>
        <v>504483.16</v>
      </c>
      <c r="AV18" s="2">
        <f t="shared" si="2"/>
        <v>24763443.95</v>
      </c>
      <c r="AW18" s="2">
        <f t="shared" si="2"/>
        <v>24763443.95</v>
      </c>
      <c r="AX18" s="2">
        <f t="shared" si="2"/>
        <v>0</v>
      </c>
      <c r="AY18" s="2">
        <f t="shared" si="2"/>
        <v>24763443.95</v>
      </c>
      <c r="AZ18" s="2">
        <f t="shared" si="2"/>
        <v>0</v>
      </c>
      <c r="BA18" s="2">
        <f t="shared" si="2"/>
        <v>0</v>
      </c>
      <c r="BB18" s="2">
        <f t="shared" si="2"/>
        <v>0</v>
      </c>
      <c r="BC18" s="2">
        <f t="shared" si="2"/>
        <v>0</v>
      </c>
      <c r="BD18" s="2">
        <f t="shared" si="2"/>
        <v>0</v>
      </c>
      <c r="BE18" s="2">
        <f t="shared" si="2"/>
        <v>0</v>
      </c>
      <c r="BF18" s="2">
        <f t="shared" si="2"/>
        <v>0</v>
      </c>
      <c r="BG18" s="2">
        <f t="shared" si="2"/>
        <v>0</v>
      </c>
      <c r="BH18" s="2">
        <f t="shared" si="2"/>
        <v>0</v>
      </c>
      <c r="BI18" s="2">
        <f t="shared" si="2"/>
        <v>0</v>
      </c>
      <c r="BJ18" s="2">
        <f t="shared" si="2"/>
        <v>0</v>
      </c>
      <c r="BK18" s="2">
        <f t="shared" si="2"/>
        <v>0</v>
      </c>
      <c r="BL18" s="2">
        <f t="shared" si="2"/>
        <v>0</v>
      </c>
      <c r="BM18" s="2">
        <f t="shared" si="2"/>
        <v>0</v>
      </c>
      <c r="BN18" s="2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aca="true" t="shared" si="3" ref="CA18:DF18">CA414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3">
        <f aca="true" t="shared" si="4" ref="DG18:DN18">DG414</f>
        <v>0</v>
      </c>
      <c r="DH18" s="3">
        <f t="shared" si="4"/>
        <v>0</v>
      </c>
      <c r="DI18" s="3">
        <f t="shared" si="4"/>
        <v>0</v>
      </c>
      <c r="DJ18" s="3">
        <f t="shared" si="4"/>
        <v>0</v>
      </c>
      <c r="DK18" s="3">
        <f t="shared" si="4"/>
        <v>0</v>
      </c>
      <c r="DL18" s="3">
        <f t="shared" si="4"/>
        <v>0</v>
      </c>
      <c r="DM18" s="3">
        <f t="shared" si="4"/>
        <v>0</v>
      </c>
      <c r="DN18" s="3">
        <f t="shared" si="4"/>
        <v>0</v>
      </c>
    </row>
    <row r="20" spans="1:88" ht="12.75">
      <c r="A20" s="1">
        <v>3</v>
      </c>
      <c r="B20" s="1">
        <v>1</v>
      </c>
      <c r="C20" s="1"/>
      <c r="D20" s="1">
        <f>ROW(A388)</f>
        <v>388</v>
      </c>
      <c r="E20" s="1"/>
      <c r="F20" s="1" t="s">
        <v>16</v>
      </c>
      <c r="G20" s="1" t="s">
        <v>16</v>
      </c>
      <c r="H20" s="1" t="s">
        <v>6</v>
      </c>
      <c r="I20" s="1">
        <v>0</v>
      </c>
      <c r="J20" s="1" t="s">
        <v>6</v>
      </c>
      <c r="K20" s="1">
        <v>0</v>
      </c>
      <c r="L20" s="1"/>
      <c r="M20" s="1"/>
      <c r="N20" s="1"/>
      <c r="O20" s="1"/>
      <c r="P20" s="1"/>
      <c r="Q20" s="1"/>
      <c r="R20" s="1"/>
      <c r="S20" s="1"/>
      <c r="T20" s="1"/>
      <c r="U20" s="1" t="s">
        <v>6</v>
      </c>
      <c r="V20" s="1">
        <v>0</v>
      </c>
      <c r="W20" s="1"/>
      <c r="X20" s="1"/>
      <c r="Y20" s="1"/>
      <c r="Z20" s="1"/>
      <c r="AA20" s="1"/>
      <c r="AB20" s="1" t="s">
        <v>6</v>
      </c>
      <c r="AC20" s="1" t="s">
        <v>6</v>
      </c>
      <c r="AD20" s="1" t="s">
        <v>6</v>
      </c>
      <c r="AE20" s="1" t="s">
        <v>6</v>
      </c>
      <c r="AF20" s="1" t="s">
        <v>6</v>
      </c>
      <c r="AG20" s="1" t="s">
        <v>6</v>
      </c>
      <c r="AH20" s="1"/>
      <c r="AI20" s="1"/>
      <c r="AJ20" s="1"/>
      <c r="AK20" s="1"/>
      <c r="AL20" s="1"/>
      <c r="AM20" s="1"/>
      <c r="AN20" s="1"/>
      <c r="AO20" s="1"/>
      <c r="AP20" s="1" t="s">
        <v>6</v>
      </c>
      <c r="AQ20" s="1" t="s">
        <v>6</v>
      </c>
      <c r="AR20" s="1" t="s">
        <v>6</v>
      </c>
      <c r="AS20" s="1"/>
      <c r="AT20" s="1"/>
      <c r="AU20" s="1"/>
      <c r="AV20" s="1"/>
      <c r="AW20" s="1"/>
      <c r="AX20" s="1"/>
      <c r="AY20" s="1"/>
      <c r="AZ20" s="1" t="s">
        <v>6</v>
      </c>
      <c r="BA20" s="1"/>
      <c r="BB20" s="1" t="s">
        <v>6</v>
      </c>
      <c r="BC20" s="1" t="s">
        <v>6</v>
      </c>
      <c r="BD20" s="1" t="s">
        <v>6</v>
      </c>
      <c r="BE20" s="1" t="s">
        <v>6</v>
      </c>
      <c r="BF20" s="1" t="s">
        <v>6</v>
      </c>
      <c r="BG20" s="1" t="s">
        <v>6</v>
      </c>
      <c r="BH20" s="1" t="s">
        <v>6</v>
      </c>
      <c r="BI20" s="1" t="s">
        <v>6</v>
      </c>
      <c r="BJ20" s="1" t="s">
        <v>6</v>
      </c>
      <c r="BK20" s="1" t="s">
        <v>6</v>
      </c>
      <c r="BL20" s="1" t="s">
        <v>6</v>
      </c>
      <c r="BM20" s="1" t="s">
        <v>6</v>
      </c>
      <c r="BN20" s="1" t="s">
        <v>6</v>
      </c>
      <c r="BO20" s="1" t="s">
        <v>6</v>
      </c>
      <c r="BP20" s="1" t="s">
        <v>6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6</v>
      </c>
      <c r="CJ20" s="1" t="s">
        <v>6</v>
      </c>
    </row>
    <row r="22" spans="1:118" ht="12.75">
      <c r="A22" s="2">
        <v>52</v>
      </c>
      <c r="B22" s="2">
        <f aca="true" t="shared" si="5" ref="B22:G22">B388</f>
        <v>1</v>
      </c>
      <c r="C22" s="2">
        <f t="shared" si="5"/>
        <v>3</v>
      </c>
      <c r="D22" s="2">
        <f t="shared" si="5"/>
        <v>20</v>
      </c>
      <c r="E22" s="2">
        <f t="shared" si="5"/>
        <v>0</v>
      </c>
      <c r="F22" s="2" t="str">
        <f t="shared" si="5"/>
        <v>Новая локальная смета</v>
      </c>
      <c r="G22" s="2" t="str">
        <f t="shared" si="5"/>
        <v>Новая локальная смета</v>
      </c>
      <c r="H22" s="2"/>
      <c r="I22" s="2"/>
      <c r="J22" s="2"/>
      <c r="K22" s="2"/>
      <c r="L22" s="2"/>
      <c r="M22" s="2"/>
      <c r="N22" s="2"/>
      <c r="O22" s="2">
        <f aca="true" t="shared" si="6" ref="O22:AT22">O388</f>
        <v>36529216.99</v>
      </c>
      <c r="P22" s="2">
        <f t="shared" si="6"/>
        <v>24763443.95</v>
      </c>
      <c r="Q22" s="2">
        <f t="shared" si="6"/>
        <v>8466902.39</v>
      </c>
      <c r="R22" s="2">
        <f t="shared" si="6"/>
        <v>2584159.5</v>
      </c>
      <c r="S22" s="2">
        <f t="shared" si="6"/>
        <v>3298870.65</v>
      </c>
      <c r="T22" s="2">
        <f t="shared" si="6"/>
        <v>0</v>
      </c>
      <c r="U22" s="2">
        <f t="shared" si="6"/>
        <v>12910.409576475797</v>
      </c>
      <c r="V22" s="2">
        <f t="shared" si="6"/>
        <v>0</v>
      </c>
      <c r="W22" s="2">
        <f t="shared" si="6"/>
        <v>0</v>
      </c>
      <c r="X22" s="2">
        <f t="shared" si="6"/>
        <v>3079246.07</v>
      </c>
      <c r="Y22" s="2">
        <f t="shared" si="6"/>
        <v>1607603.08</v>
      </c>
      <c r="Z22" s="2">
        <f t="shared" si="6"/>
        <v>0</v>
      </c>
      <c r="AA22" s="2">
        <f t="shared" si="6"/>
        <v>0</v>
      </c>
      <c r="AB22" s="2">
        <f t="shared" si="6"/>
        <v>0</v>
      </c>
      <c r="AC22" s="2">
        <f t="shared" si="6"/>
        <v>0</v>
      </c>
      <c r="AD22" s="2">
        <f t="shared" si="6"/>
        <v>0</v>
      </c>
      <c r="AE22" s="2">
        <f t="shared" si="6"/>
        <v>0</v>
      </c>
      <c r="AF22" s="2">
        <f t="shared" si="6"/>
        <v>0</v>
      </c>
      <c r="AG22" s="2">
        <f t="shared" si="6"/>
        <v>0</v>
      </c>
      <c r="AH22" s="2">
        <f t="shared" si="6"/>
        <v>0</v>
      </c>
      <c r="AI22" s="2">
        <f t="shared" si="6"/>
        <v>0</v>
      </c>
      <c r="AJ22" s="2">
        <f t="shared" si="6"/>
        <v>0</v>
      </c>
      <c r="AK22" s="2">
        <f t="shared" si="6"/>
        <v>0</v>
      </c>
      <c r="AL22" s="2">
        <f t="shared" si="6"/>
        <v>0</v>
      </c>
      <c r="AM22" s="2">
        <f t="shared" si="6"/>
        <v>0</v>
      </c>
      <c r="AN22" s="2">
        <f t="shared" si="6"/>
        <v>0</v>
      </c>
      <c r="AO22" s="2">
        <f t="shared" si="6"/>
        <v>0</v>
      </c>
      <c r="AP22" s="2">
        <f t="shared" si="6"/>
        <v>0</v>
      </c>
      <c r="AQ22" s="2">
        <f t="shared" si="6"/>
        <v>0</v>
      </c>
      <c r="AR22" s="2">
        <f t="shared" si="6"/>
        <v>45531612.49</v>
      </c>
      <c r="AS22" s="2">
        <f t="shared" si="6"/>
        <v>34525468.53</v>
      </c>
      <c r="AT22" s="2">
        <f t="shared" si="6"/>
        <v>10501660.8</v>
      </c>
      <c r="AU22" s="2">
        <f aca="true" t="shared" si="7" ref="AU22:BZ22">AU388</f>
        <v>504483.16</v>
      </c>
      <c r="AV22" s="2">
        <f t="shared" si="7"/>
        <v>24763443.95</v>
      </c>
      <c r="AW22" s="2">
        <f t="shared" si="7"/>
        <v>24763443.95</v>
      </c>
      <c r="AX22" s="2">
        <f t="shared" si="7"/>
        <v>0</v>
      </c>
      <c r="AY22" s="2">
        <f t="shared" si="7"/>
        <v>24763443.95</v>
      </c>
      <c r="AZ22" s="2">
        <f t="shared" si="7"/>
        <v>0</v>
      </c>
      <c r="BA22" s="2">
        <f t="shared" si="7"/>
        <v>0</v>
      </c>
      <c r="BB22" s="2">
        <f t="shared" si="7"/>
        <v>0</v>
      </c>
      <c r="BC22" s="2">
        <f t="shared" si="7"/>
        <v>0</v>
      </c>
      <c r="BD22" s="2">
        <f t="shared" si="7"/>
        <v>0</v>
      </c>
      <c r="BE22" s="2">
        <f t="shared" si="7"/>
        <v>0</v>
      </c>
      <c r="BF22" s="2">
        <f t="shared" si="7"/>
        <v>0</v>
      </c>
      <c r="BG22" s="2">
        <f t="shared" si="7"/>
        <v>0</v>
      </c>
      <c r="BH22" s="2">
        <f t="shared" si="7"/>
        <v>0</v>
      </c>
      <c r="BI22" s="2">
        <f t="shared" si="7"/>
        <v>0</v>
      </c>
      <c r="BJ22" s="2">
        <f t="shared" si="7"/>
        <v>0</v>
      </c>
      <c r="BK22" s="2">
        <f t="shared" si="7"/>
        <v>0</v>
      </c>
      <c r="BL22" s="2">
        <f t="shared" si="7"/>
        <v>0</v>
      </c>
      <c r="BM22" s="2">
        <f t="shared" si="7"/>
        <v>0</v>
      </c>
      <c r="BN22" s="2">
        <f t="shared" si="7"/>
        <v>0</v>
      </c>
      <c r="BO22" s="3">
        <f t="shared" si="7"/>
        <v>0</v>
      </c>
      <c r="BP22" s="3">
        <f t="shared" si="7"/>
        <v>0</v>
      </c>
      <c r="BQ22" s="3">
        <f t="shared" si="7"/>
        <v>0</v>
      </c>
      <c r="BR22" s="3">
        <f t="shared" si="7"/>
        <v>0</v>
      </c>
      <c r="BS22" s="3">
        <f t="shared" si="7"/>
        <v>0</v>
      </c>
      <c r="BT22" s="3">
        <f t="shared" si="7"/>
        <v>0</v>
      </c>
      <c r="BU22" s="3">
        <f t="shared" si="7"/>
        <v>0</v>
      </c>
      <c r="BV22" s="3">
        <f t="shared" si="7"/>
        <v>0</v>
      </c>
      <c r="BW22" s="3">
        <f t="shared" si="7"/>
        <v>0</v>
      </c>
      <c r="BX22" s="3">
        <f t="shared" si="7"/>
        <v>0</v>
      </c>
      <c r="BY22" s="3">
        <f t="shared" si="7"/>
        <v>0</v>
      </c>
      <c r="BZ22" s="3">
        <f t="shared" si="7"/>
        <v>0</v>
      </c>
      <c r="CA22" s="3">
        <f aca="true" t="shared" si="8" ref="CA22:DF22">CA388</f>
        <v>0</v>
      </c>
      <c r="CB22" s="3">
        <f t="shared" si="8"/>
        <v>0</v>
      </c>
      <c r="CC22" s="3">
        <f t="shared" si="8"/>
        <v>0</v>
      </c>
      <c r="CD22" s="3">
        <f t="shared" si="8"/>
        <v>0</v>
      </c>
      <c r="CE22" s="3">
        <f t="shared" si="8"/>
        <v>0</v>
      </c>
      <c r="CF22" s="3">
        <f t="shared" si="8"/>
        <v>0</v>
      </c>
      <c r="CG22" s="3">
        <f t="shared" si="8"/>
        <v>0</v>
      </c>
      <c r="CH22" s="3">
        <f t="shared" si="8"/>
        <v>0</v>
      </c>
      <c r="CI22" s="3">
        <f t="shared" si="8"/>
        <v>0</v>
      </c>
      <c r="CJ22" s="3">
        <f t="shared" si="8"/>
        <v>0</v>
      </c>
      <c r="CK22" s="3">
        <f t="shared" si="8"/>
        <v>0</v>
      </c>
      <c r="CL22" s="3">
        <f t="shared" si="8"/>
        <v>0</v>
      </c>
      <c r="CM22" s="3">
        <f t="shared" si="8"/>
        <v>0</v>
      </c>
      <c r="CN22" s="3">
        <f t="shared" si="8"/>
        <v>0</v>
      </c>
      <c r="CO22" s="3">
        <f t="shared" si="8"/>
        <v>0</v>
      </c>
      <c r="CP22" s="3">
        <f t="shared" si="8"/>
        <v>0</v>
      </c>
      <c r="CQ22" s="3">
        <f t="shared" si="8"/>
        <v>0</v>
      </c>
      <c r="CR22" s="3">
        <f t="shared" si="8"/>
        <v>0</v>
      </c>
      <c r="CS22" s="3">
        <f t="shared" si="8"/>
        <v>0</v>
      </c>
      <c r="CT22" s="3">
        <f t="shared" si="8"/>
        <v>0</v>
      </c>
      <c r="CU22" s="3">
        <f t="shared" si="8"/>
        <v>0</v>
      </c>
      <c r="CV22" s="3">
        <f t="shared" si="8"/>
        <v>0</v>
      </c>
      <c r="CW22" s="3">
        <f t="shared" si="8"/>
        <v>0</v>
      </c>
      <c r="CX22" s="3">
        <f t="shared" si="8"/>
        <v>0</v>
      </c>
      <c r="CY22" s="3">
        <f t="shared" si="8"/>
        <v>0</v>
      </c>
      <c r="CZ22" s="3">
        <f t="shared" si="8"/>
        <v>0</v>
      </c>
      <c r="DA22" s="3">
        <f t="shared" si="8"/>
        <v>0</v>
      </c>
      <c r="DB22" s="3">
        <f t="shared" si="8"/>
        <v>0</v>
      </c>
      <c r="DC22" s="3">
        <f t="shared" si="8"/>
        <v>0</v>
      </c>
      <c r="DD22" s="3">
        <f t="shared" si="8"/>
        <v>0</v>
      </c>
      <c r="DE22" s="3">
        <f t="shared" si="8"/>
        <v>0</v>
      </c>
      <c r="DF22" s="3">
        <f t="shared" si="8"/>
        <v>0</v>
      </c>
      <c r="DG22" s="3">
        <f aca="true" t="shared" si="9" ref="DG22:DN22">DG388</f>
        <v>0</v>
      </c>
      <c r="DH22" s="3">
        <f t="shared" si="9"/>
        <v>0</v>
      </c>
      <c r="DI22" s="3">
        <f t="shared" si="9"/>
        <v>0</v>
      </c>
      <c r="DJ22" s="3">
        <f t="shared" si="9"/>
        <v>0</v>
      </c>
      <c r="DK22" s="3">
        <f t="shared" si="9"/>
        <v>0</v>
      </c>
      <c r="DL22" s="3">
        <f t="shared" si="9"/>
        <v>0</v>
      </c>
      <c r="DM22" s="3">
        <f t="shared" si="9"/>
        <v>0</v>
      </c>
      <c r="DN22" s="3">
        <f t="shared" si="9"/>
        <v>0</v>
      </c>
    </row>
    <row r="24" spans="1:88" ht="12.75">
      <c r="A24" s="1">
        <v>4</v>
      </c>
      <c r="B24" s="1">
        <v>1</v>
      </c>
      <c r="C24" s="1"/>
      <c r="D24" s="1">
        <f>ROW(A362)</f>
        <v>362</v>
      </c>
      <c r="E24" s="1"/>
      <c r="F24" s="1" t="s">
        <v>17</v>
      </c>
      <c r="G24" s="1" t="s">
        <v>18</v>
      </c>
      <c r="H24" s="1" t="s">
        <v>6</v>
      </c>
      <c r="I24" s="1">
        <v>0</v>
      </c>
      <c r="J24" s="1"/>
      <c r="K24" s="1">
        <v>0</v>
      </c>
      <c r="L24" s="1"/>
      <c r="M24" s="1"/>
      <c r="N24" s="1"/>
      <c r="O24" s="1"/>
      <c r="P24" s="1"/>
      <c r="Q24" s="1"/>
      <c r="R24" s="1"/>
      <c r="S24" s="1"/>
      <c r="T24" s="1"/>
      <c r="U24" s="1" t="s">
        <v>6</v>
      </c>
      <c r="V24" s="1">
        <v>0</v>
      </c>
      <c r="W24" s="1"/>
      <c r="X24" s="1"/>
      <c r="Y24" s="1"/>
      <c r="Z24" s="1"/>
      <c r="AA24" s="1"/>
      <c r="AB24" s="1" t="s">
        <v>6</v>
      </c>
      <c r="AC24" s="1" t="s">
        <v>6</v>
      </c>
      <c r="AD24" s="1" t="s">
        <v>6</v>
      </c>
      <c r="AE24" s="1" t="s">
        <v>6</v>
      </c>
      <c r="AF24" s="1" t="s">
        <v>6</v>
      </c>
      <c r="AG24" s="1" t="s">
        <v>6</v>
      </c>
      <c r="AH24" s="1"/>
      <c r="AI24" s="1"/>
      <c r="AJ24" s="1"/>
      <c r="AK24" s="1"/>
      <c r="AL24" s="1"/>
      <c r="AM24" s="1"/>
      <c r="AN24" s="1"/>
      <c r="AO24" s="1"/>
      <c r="AP24" s="1" t="s">
        <v>6</v>
      </c>
      <c r="AQ24" s="1" t="s">
        <v>6</v>
      </c>
      <c r="AR24" s="1" t="s">
        <v>6</v>
      </c>
      <c r="AS24" s="1"/>
      <c r="AT24" s="1"/>
      <c r="AU24" s="1"/>
      <c r="AV24" s="1"/>
      <c r="AW24" s="1"/>
      <c r="AX24" s="1"/>
      <c r="AY24" s="1"/>
      <c r="AZ24" s="1" t="s">
        <v>6</v>
      </c>
      <c r="BA24" s="1"/>
      <c r="BB24" s="1" t="s">
        <v>6</v>
      </c>
      <c r="BC24" s="1" t="s">
        <v>6</v>
      </c>
      <c r="BD24" s="1" t="s">
        <v>6</v>
      </c>
      <c r="BE24" s="1" t="s">
        <v>6</v>
      </c>
      <c r="BF24" s="1" t="s">
        <v>6</v>
      </c>
      <c r="BG24" s="1" t="s">
        <v>6</v>
      </c>
      <c r="BH24" s="1" t="s">
        <v>6</v>
      </c>
      <c r="BI24" s="1" t="s">
        <v>6</v>
      </c>
      <c r="BJ24" s="1" t="s">
        <v>6</v>
      </c>
      <c r="BK24" s="1" t="s">
        <v>6</v>
      </c>
      <c r="BL24" s="1" t="s">
        <v>6</v>
      </c>
      <c r="BM24" s="1" t="s">
        <v>6</v>
      </c>
      <c r="BN24" s="1" t="s">
        <v>6</v>
      </c>
      <c r="BO24" s="1" t="s">
        <v>6</v>
      </c>
      <c r="BP24" s="1" t="s">
        <v>6</v>
      </c>
      <c r="BQ24" s="1"/>
      <c r="BR24" s="1"/>
      <c r="BS24" s="1"/>
      <c r="BT24" s="1"/>
      <c r="BU24" s="1"/>
      <c r="BV24" s="1"/>
      <c r="BW24" s="1"/>
      <c r="BX24" s="1">
        <v>0</v>
      </c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>
        <v>0</v>
      </c>
    </row>
    <row r="26" spans="1:118" ht="12.75">
      <c r="A26" s="2">
        <v>52</v>
      </c>
      <c r="B26" s="2">
        <f aca="true" t="shared" si="10" ref="B26:G26">B362</f>
        <v>1</v>
      </c>
      <c r="C26" s="2">
        <f t="shared" si="10"/>
        <v>4</v>
      </c>
      <c r="D26" s="2">
        <f t="shared" si="10"/>
        <v>24</v>
      </c>
      <c r="E26" s="2">
        <f t="shared" si="10"/>
        <v>0</v>
      </c>
      <c r="F26" s="2" t="str">
        <f t="shared" si="10"/>
        <v>Новый раздел</v>
      </c>
      <c r="G26" s="2" t="str">
        <f t="shared" si="10"/>
        <v>ПКЛ-20 кВ от ПС "Никулино"</v>
      </c>
      <c r="H26" s="2"/>
      <c r="I26" s="2"/>
      <c r="J26" s="2"/>
      <c r="K26" s="2"/>
      <c r="L26" s="2"/>
      <c r="M26" s="2"/>
      <c r="N26" s="2"/>
      <c r="O26" s="2">
        <f aca="true" t="shared" si="11" ref="O26:AT26">O362</f>
        <v>36529216.99</v>
      </c>
      <c r="P26" s="2">
        <f t="shared" si="11"/>
        <v>24763443.95</v>
      </c>
      <c r="Q26" s="2">
        <f t="shared" si="11"/>
        <v>8466902.39</v>
      </c>
      <c r="R26" s="2">
        <f t="shared" si="11"/>
        <v>2584159.5</v>
      </c>
      <c r="S26" s="2">
        <f t="shared" si="11"/>
        <v>3298870.65</v>
      </c>
      <c r="T26" s="2">
        <f t="shared" si="11"/>
        <v>0</v>
      </c>
      <c r="U26" s="2">
        <f t="shared" si="11"/>
        <v>12910.409576475797</v>
      </c>
      <c r="V26" s="2">
        <f t="shared" si="11"/>
        <v>0</v>
      </c>
      <c r="W26" s="2">
        <f t="shared" si="11"/>
        <v>0</v>
      </c>
      <c r="X26" s="2">
        <f t="shared" si="11"/>
        <v>3079246.07</v>
      </c>
      <c r="Y26" s="2">
        <f t="shared" si="11"/>
        <v>1607603.08</v>
      </c>
      <c r="Z26" s="2">
        <f t="shared" si="11"/>
        <v>0</v>
      </c>
      <c r="AA26" s="2">
        <f t="shared" si="11"/>
        <v>0</v>
      </c>
      <c r="AB26" s="2">
        <f t="shared" si="11"/>
        <v>0</v>
      </c>
      <c r="AC26" s="2">
        <f t="shared" si="11"/>
        <v>0</v>
      </c>
      <c r="AD26" s="2">
        <f t="shared" si="11"/>
        <v>0</v>
      </c>
      <c r="AE26" s="2">
        <f t="shared" si="11"/>
        <v>0</v>
      </c>
      <c r="AF26" s="2">
        <f t="shared" si="11"/>
        <v>0</v>
      </c>
      <c r="AG26" s="2">
        <f t="shared" si="11"/>
        <v>0</v>
      </c>
      <c r="AH26" s="2">
        <f t="shared" si="11"/>
        <v>0</v>
      </c>
      <c r="AI26" s="2">
        <f t="shared" si="11"/>
        <v>0</v>
      </c>
      <c r="AJ26" s="2">
        <f t="shared" si="11"/>
        <v>0</v>
      </c>
      <c r="AK26" s="2">
        <f t="shared" si="11"/>
        <v>0</v>
      </c>
      <c r="AL26" s="2">
        <f t="shared" si="11"/>
        <v>0</v>
      </c>
      <c r="AM26" s="2">
        <f t="shared" si="11"/>
        <v>0</v>
      </c>
      <c r="AN26" s="2">
        <f t="shared" si="11"/>
        <v>0</v>
      </c>
      <c r="AO26" s="2">
        <f t="shared" si="11"/>
        <v>0</v>
      </c>
      <c r="AP26" s="2">
        <f t="shared" si="11"/>
        <v>0</v>
      </c>
      <c r="AQ26" s="2">
        <f t="shared" si="11"/>
        <v>0</v>
      </c>
      <c r="AR26" s="2">
        <f t="shared" si="11"/>
        <v>45531612.49</v>
      </c>
      <c r="AS26" s="2">
        <f t="shared" si="11"/>
        <v>34525468.53</v>
      </c>
      <c r="AT26" s="2">
        <f t="shared" si="11"/>
        <v>10501660.8</v>
      </c>
      <c r="AU26" s="2">
        <f aca="true" t="shared" si="12" ref="AU26:BZ26">AU362</f>
        <v>504483.16</v>
      </c>
      <c r="AV26" s="2">
        <f t="shared" si="12"/>
        <v>24763443.95</v>
      </c>
      <c r="AW26" s="2">
        <f t="shared" si="12"/>
        <v>24763443.95</v>
      </c>
      <c r="AX26" s="2">
        <f t="shared" si="12"/>
        <v>0</v>
      </c>
      <c r="AY26" s="2">
        <f t="shared" si="12"/>
        <v>24763443.95</v>
      </c>
      <c r="AZ26" s="2">
        <f t="shared" si="12"/>
        <v>0</v>
      </c>
      <c r="BA26" s="2">
        <f t="shared" si="12"/>
        <v>0</v>
      </c>
      <c r="BB26" s="2">
        <f t="shared" si="12"/>
        <v>0</v>
      </c>
      <c r="BC26" s="2">
        <f t="shared" si="12"/>
        <v>0</v>
      </c>
      <c r="BD26" s="2">
        <f t="shared" si="12"/>
        <v>0</v>
      </c>
      <c r="BE26" s="2">
        <f t="shared" si="12"/>
        <v>0</v>
      </c>
      <c r="BF26" s="2">
        <f t="shared" si="12"/>
        <v>0</v>
      </c>
      <c r="BG26" s="2">
        <f t="shared" si="12"/>
        <v>0</v>
      </c>
      <c r="BH26" s="2">
        <f t="shared" si="12"/>
        <v>0</v>
      </c>
      <c r="BI26" s="2">
        <f t="shared" si="12"/>
        <v>0</v>
      </c>
      <c r="BJ26" s="2">
        <f t="shared" si="12"/>
        <v>0</v>
      </c>
      <c r="BK26" s="2">
        <f t="shared" si="12"/>
        <v>0</v>
      </c>
      <c r="BL26" s="2">
        <f t="shared" si="12"/>
        <v>0</v>
      </c>
      <c r="BM26" s="2">
        <f t="shared" si="12"/>
        <v>0</v>
      </c>
      <c r="BN26" s="2">
        <f t="shared" si="12"/>
        <v>0</v>
      </c>
      <c r="BO26" s="3">
        <f t="shared" si="12"/>
        <v>0</v>
      </c>
      <c r="BP26" s="3">
        <f t="shared" si="12"/>
        <v>0</v>
      </c>
      <c r="BQ26" s="3">
        <f t="shared" si="12"/>
        <v>0</v>
      </c>
      <c r="BR26" s="3">
        <f t="shared" si="12"/>
        <v>0</v>
      </c>
      <c r="BS26" s="3">
        <f t="shared" si="12"/>
        <v>0</v>
      </c>
      <c r="BT26" s="3">
        <f t="shared" si="12"/>
        <v>0</v>
      </c>
      <c r="BU26" s="3">
        <f t="shared" si="12"/>
        <v>0</v>
      </c>
      <c r="BV26" s="3">
        <f t="shared" si="12"/>
        <v>0</v>
      </c>
      <c r="BW26" s="3">
        <f t="shared" si="12"/>
        <v>0</v>
      </c>
      <c r="BX26" s="3">
        <f t="shared" si="12"/>
        <v>0</v>
      </c>
      <c r="BY26" s="3">
        <f t="shared" si="12"/>
        <v>0</v>
      </c>
      <c r="BZ26" s="3">
        <f t="shared" si="12"/>
        <v>0</v>
      </c>
      <c r="CA26" s="3">
        <f aca="true" t="shared" si="13" ref="CA26:DF26">CA362</f>
        <v>0</v>
      </c>
      <c r="CB26" s="3">
        <f t="shared" si="13"/>
        <v>0</v>
      </c>
      <c r="CC26" s="3">
        <f t="shared" si="13"/>
        <v>0</v>
      </c>
      <c r="CD26" s="3">
        <f t="shared" si="13"/>
        <v>0</v>
      </c>
      <c r="CE26" s="3">
        <f t="shared" si="13"/>
        <v>0</v>
      </c>
      <c r="CF26" s="3">
        <f t="shared" si="13"/>
        <v>0</v>
      </c>
      <c r="CG26" s="3">
        <f t="shared" si="13"/>
        <v>0</v>
      </c>
      <c r="CH26" s="3">
        <f t="shared" si="13"/>
        <v>0</v>
      </c>
      <c r="CI26" s="3">
        <f t="shared" si="13"/>
        <v>0</v>
      </c>
      <c r="CJ26" s="3">
        <f t="shared" si="13"/>
        <v>0</v>
      </c>
      <c r="CK26" s="3">
        <f t="shared" si="13"/>
        <v>0</v>
      </c>
      <c r="CL26" s="3">
        <f t="shared" si="13"/>
        <v>0</v>
      </c>
      <c r="CM26" s="3">
        <f t="shared" si="13"/>
        <v>0</v>
      </c>
      <c r="CN26" s="3">
        <f t="shared" si="13"/>
        <v>0</v>
      </c>
      <c r="CO26" s="3">
        <f t="shared" si="13"/>
        <v>0</v>
      </c>
      <c r="CP26" s="3">
        <f t="shared" si="13"/>
        <v>0</v>
      </c>
      <c r="CQ26" s="3">
        <f t="shared" si="13"/>
        <v>0</v>
      </c>
      <c r="CR26" s="3">
        <f t="shared" si="13"/>
        <v>0</v>
      </c>
      <c r="CS26" s="3">
        <f t="shared" si="13"/>
        <v>0</v>
      </c>
      <c r="CT26" s="3">
        <f t="shared" si="13"/>
        <v>0</v>
      </c>
      <c r="CU26" s="3">
        <f t="shared" si="13"/>
        <v>0</v>
      </c>
      <c r="CV26" s="3">
        <f t="shared" si="13"/>
        <v>0</v>
      </c>
      <c r="CW26" s="3">
        <f t="shared" si="13"/>
        <v>0</v>
      </c>
      <c r="CX26" s="3">
        <f t="shared" si="13"/>
        <v>0</v>
      </c>
      <c r="CY26" s="3">
        <f t="shared" si="13"/>
        <v>0</v>
      </c>
      <c r="CZ26" s="3">
        <f t="shared" si="13"/>
        <v>0</v>
      </c>
      <c r="DA26" s="3">
        <f t="shared" si="13"/>
        <v>0</v>
      </c>
      <c r="DB26" s="3">
        <f t="shared" si="13"/>
        <v>0</v>
      </c>
      <c r="DC26" s="3">
        <f t="shared" si="13"/>
        <v>0</v>
      </c>
      <c r="DD26" s="3">
        <f t="shared" si="13"/>
        <v>0</v>
      </c>
      <c r="DE26" s="3">
        <f t="shared" si="13"/>
        <v>0</v>
      </c>
      <c r="DF26" s="3">
        <f t="shared" si="13"/>
        <v>0</v>
      </c>
      <c r="DG26" s="3">
        <f aca="true" t="shared" si="14" ref="DG26:DN26">DG362</f>
        <v>0</v>
      </c>
      <c r="DH26" s="3">
        <f t="shared" si="14"/>
        <v>0</v>
      </c>
      <c r="DI26" s="3">
        <f t="shared" si="14"/>
        <v>0</v>
      </c>
      <c r="DJ26" s="3">
        <f t="shared" si="14"/>
        <v>0</v>
      </c>
      <c r="DK26" s="3">
        <f t="shared" si="14"/>
        <v>0</v>
      </c>
      <c r="DL26" s="3">
        <f t="shared" si="14"/>
        <v>0</v>
      </c>
      <c r="DM26" s="3">
        <f t="shared" si="14"/>
        <v>0</v>
      </c>
      <c r="DN26" s="3">
        <f t="shared" si="14"/>
        <v>0</v>
      </c>
    </row>
    <row r="28" spans="1:88" ht="12.75">
      <c r="A28" s="1">
        <v>5</v>
      </c>
      <c r="B28" s="1">
        <v>1</v>
      </c>
      <c r="C28" s="1"/>
      <c r="D28" s="1">
        <f>ROW(A47)</f>
        <v>47</v>
      </c>
      <c r="E28" s="1"/>
      <c r="F28" s="1" t="s">
        <v>19</v>
      </c>
      <c r="G28" s="1" t="s">
        <v>20</v>
      </c>
      <c r="H28" s="1" t="s">
        <v>6</v>
      </c>
      <c r="I28" s="1">
        <v>0</v>
      </c>
      <c r="J28" s="1"/>
      <c r="K28" s="1">
        <v>-1</v>
      </c>
      <c r="L28" s="1"/>
      <c r="M28" s="1"/>
      <c r="N28" s="1"/>
      <c r="O28" s="1"/>
      <c r="P28" s="1"/>
      <c r="Q28" s="1"/>
      <c r="R28" s="1"/>
      <c r="S28" s="1"/>
      <c r="T28" s="1"/>
      <c r="U28" s="1" t="s">
        <v>6</v>
      </c>
      <c r="V28" s="1">
        <v>0</v>
      </c>
      <c r="W28" s="1"/>
      <c r="X28" s="1"/>
      <c r="Y28" s="1"/>
      <c r="Z28" s="1"/>
      <c r="AA28" s="1"/>
      <c r="AB28" s="1" t="s">
        <v>6</v>
      </c>
      <c r="AC28" s="1" t="s">
        <v>6</v>
      </c>
      <c r="AD28" s="1" t="s">
        <v>6</v>
      </c>
      <c r="AE28" s="1" t="s">
        <v>6</v>
      </c>
      <c r="AF28" s="1" t="s">
        <v>6</v>
      </c>
      <c r="AG28" s="1" t="s">
        <v>6</v>
      </c>
      <c r="AH28" s="1"/>
      <c r="AI28" s="1"/>
      <c r="AJ28" s="1"/>
      <c r="AK28" s="1"/>
      <c r="AL28" s="1"/>
      <c r="AM28" s="1"/>
      <c r="AN28" s="1"/>
      <c r="AO28" s="1"/>
      <c r="AP28" s="1" t="s">
        <v>6</v>
      </c>
      <c r="AQ28" s="1" t="s">
        <v>6</v>
      </c>
      <c r="AR28" s="1" t="s">
        <v>6</v>
      </c>
      <c r="AS28" s="1"/>
      <c r="AT28" s="1"/>
      <c r="AU28" s="1"/>
      <c r="AV28" s="1"/>
      <c r="AW28" s="1"/>
      <c r="AX28" s="1"/>
      <c r="AY28" s="1"/>
      <c r="AZ28" s="1" t="s">
        <v>6</v>
      </c>
      <c r="BA28" s="1"/>
      <c r="BB28" s="1" t="s">
        <v>6</v>
      </c>
      <c r="BC28" s="1" t="s">
        <v>6</v>
      </c>
      <c r="BD28" s="1" t="s">
        <v>6</v>
      </c>
      <c r="BE28" s="1" t="s">
        <v>6</v>
      </c>
      <c r="BF28" s="1" t="s">
        <v>6</v>
      </c>
      <c r="BG28" s="1" t="s">
        <v>6</v>
      </c>
      <c r="BH28" s="1" t="s">
        <v>6</v>
      </c>
      <c r="BI28" s="1" t="s">
        <v>6</v>
      </c>
      <c r="BJ28" s="1" t="s">
        <v>6</v>
      </c>
      <c r="BK28" s="1" t="s">
        <v>6</v>
      </c>
      <c r="BL28" s="1" t="s">
        <v>6</v>
      </c>
      <c r="BM28" s="1" t="s">
        <v>6</v>
      </c>
      <c r="BN28" s="1" t="s">
        <v>6</v>
      </c>
      <c r="BO28" s="1" t="s">
        <v>6</v>
      </c>
      <c r="BP28" s="1" t="s">
        <v>6</v>
      </c>
      <c r="BQ28" s="1"/>
      <c r="BR28" s="1"/>
      <c r="BS28" s="1"/>
      <c r="BT28" s="1"/>
      <c r="BU28" s="1"/>
      <c r="BV28" s="1"/>
      <c r="BW28" s="1"/>
      <c r="BX28" s="1">
        <v>0</v>
      </c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>
        <v>0</v>
      </c>
    </row>
    <row r="30" spans="1:118" ht="12.75">
      <c r="A30" s="2">
        <v>52</v>
      </c>
      <c r="B30" s="2">
        <f aca="true" t="shared" si="15" ref="B30:G30">B47</f>
        <v>1</v>
      </c>
      <c r="C30" s="2">
        <f t="shared" si="15"/>
        <v>5</v>
      </c>
      <c r="D30" s="2">
        <f t="shared" si="15"/>
        <v>28</v>
      </c>
      <c r="E30" s="2">
        <f t="shared" si="15"/>
        <v>0</v>
      </c>
      <c r="F30" s="2" t="str">
        <f t="shared" si="15"/>
        <v>Новый подраздел</v>
      </c>
      <c r="G30" s="2" t="str">
        <f t="shared" si="15"/>
        <v>Строительные и земляные работы</v>
      </c>
      <c r="H30" s="2"/>
      <c r="I30" s="2"/>
      <c r="J30" s="2"/>
      <c r="K30" s="2"/>
      <c r="L30" s="2"/>
      <c r="M30" s="2"/>
      <c r="N30" s="2"/>
      <c r="O30" s="2">
        <f aca="true" t="shared" si="16" ref="O30:AT30">O47</f>
        <v>1013651.81</v>
      </c>
      <c r="P30" s="2">
        <f t="shared" si="16"/>
        <v>553238.67</v>
      </c>
      <c r="Q30" s="2">
        <f t="shared" si="16"/>
        <v>68413.7</v>
      </c>
      <c r="R30" s="2">
        <f t="shared" si="16"/>
        <v>11883.03</v>
      </c>
      <c r="S30" s="2">
        <f t="shared" si="16"/>
        <v>391999.44</v>
      </c>
      <c r="T30" s="2">
        <f t="shared" si="16"/>
        <v>0</v>
      </c>
      <c r="U30" s="2">
        <f t="shared" si="16"/>
        <v>1844.6421065567995</v>
      </c>
      <c r="V30" s="2">
        <f t="shared" si="16"/>
        <v>0</v>
      </c>
      <c r="W30" s="2">
        <f t="shared" si="16"/>
        <v>0</v>
      </c>
      <c r="X30" s="2">
        <f t="shared" si="16"/>
        <v>333969.48</v>
      </c>
      <c r="Y30" s="2">
        <f t="shared" si="16"/>
        <v>161531.44</v>
      </c>
      <c r="Z30" s="2">
        <f t="shared" si="16"/>
        <v>0</v>
      </c>
      <c r="AA30" s="2">
        <f t="shared" si="16"/>
        <v>0</v>
      </c>
      <c r="AB30" s="2">
        <f t="shared" si="16"/>
        <v>1013651.81</v>
      </c>
      <c r="AC30" s="2">
        <f t="shared" si="16"/>
        <v>553238.67</v>
      </c>
      <c r="AD30" s="2">
        <f t="shared" si="16"/>
        <v>68413.7</v>
      </c>
      <c r="AE30" s="2">
        <f t="shared" si="16"/>
        <v>11883.03</v>
      </c>
      <c r="AF30" s="2">
        <f t="shared" si="16"/>
        <v>391999.44</v>
      </c>
      <c r="AG30" s="2">
        <f t="shared" si="16"/>
        <v>0</v>
      </c>
      <c r="AH30" s="2">
        <f t="shared" si="16"/>
        <v>1844.6421065567995</v>
      </c>
      <c r="AI30" s="2">
        <f t="shared" si="16"/>
        <v>0</v>
      </c>
      <c r="AJ30" s="2">
        <f t="shared" si="16"/>
        <v>0</v>
      </c>
      <c r="AK30" s="2">
        <f t="shared" si="16"/>
        <v>333969.48</v>
      </c>
      <c r="AL30" s="2">
        <f t="shared" si="16"/>
        <v>161531.44</v>
      </c>
      <c r="AM30" s="2">
        <f t="shared" si="16"/>
        <v>0</v>
      </c>
      <c r="AN30" s="2">
        <f t="shared" si="16"/>
        <v>0</v>
      </c>
      <c r="AO30" s="2">
        <f t="shared" si="16"/>
        <v>0</v>
      </c>
      <c r="AP30" s="2">
        <f t="shared" si="16"/>
        <v>0</v>
      </c>
      <c r="AQ30" s="2">
        <f t="shared" si="16"/>
        <v>0</v>
      </c>
      <c r="AR30" s="2">
        <f t="shared" si="16"/>
        <v>1528997.39</v>
      </c>
      <c r="AS30" s="2">
        <f t="shared" si="16"/>
        <v>1418973.53</v>
      </c>
      <c r="AT30" s="2">
        <f t="shared" si="16"/>
        <v>63861.03</v>
      </c>
      <c r="AU30" s="2">
        <f aca="true" t="shared" si="17" ref="AU30:BZ30">AU47</f>
        <v>46162.83</v>
      </c>
      <c r="AV30" s="2">
        <f t="shared" si="17"/>
        <v>553238.67</v>
      </c>
      <c r="AW30" s="2">
        <f t="shared" si="17"/>
        <v>553238.67</v>
      </c>
      <c r="AX30" s="2">
        <f t="shared" si="17"/>
        <v>0</v>
      </c>
      <c r="AY30" s="2">
        <f t="shared" si="17"/>
        <v>553238.67</v>
      </c>
      <c r="AZ30" s="2">
        <f t="shared" si="17"/>
        <v>0</v>
      </c>
      <c r="BA30" s="2">
        <f t="shared" si="17"/>
        <v>0</v>
      </c>
      <c r="BB30" s="2">
        <f t="shared" si="17"/>
        <v>0</v>
      </c>
      <c r="BC30" s="2">
        <f t="shared" si="17"/>
        <v>0</v>
      </c>
      <c r="BD30" s="2">
        <f t="shared" si="17"/>
        <v>0</v>
      </c>
      <c r="BE30" s="2">
        <f t="shared" si="17"/>
        <v>1528997.39</v>
      </c>
      <c r="BF30" s="2">
        <f t="shared" si="17"/>
        <v>1418973.53</v>
      </c>
      <c r="BG30" s="2">
        <f t="shared" si="17"/>
        <v>63861.03</v>
      </c>
      <c r="BH30" s="2">
        <f t="shared" si="17"/>
        <v>46162.83</v>
      </c>
      <c r="BI30" s="2">
        <f t="shared" si="17"/>
        <v>553238.67</v>
      </c>
      <c r="BJ30" s="2">
        <f t="shared" si="17"/>
        <v>553238.67</v>
      </c>
      <c r="BK30" s="2">
        <f t="shared" si="17"/>
        <v>0</v>
      </c>
      <c r="BL30" s="2">
        <f t="shared" si="17"/>
        <v>553238.67</v>
      </c>
      <c r="BM30" s="2">
        <f t="shared" si="17"/>
        <v>0</v>
      </c>
      <c r="BN30" s="2">
        <f t="shared" si="17"/>
        <v>0</v>
      </c>
      <c r="BO30" s="3">
        <f t="shared" si="17"/>
        <v>0</v>
      </c>
      <c r="BP30" s="3">
        <f t="shared" si="17"/>
        <v>0</v>
      </c>
      <c r="BQ30" s="3">
        <f t="shared" si="17"/>
        <v>0</v>
      </c>
      <c r="BR30" s="3">
        <f t="shared" si="17"/>
        <v>0</v>
      </c>
      <c r="BS30" s="3">
        <f t="shared" si="17"/>
        <v>0</v>
      </c>
      <c r="BT30" s="3">
        <f t="shared" si="17"/>
        <v>0</v>
      </c>
      <c r="BU30" s="3">
        <f t="shared" si="17"/>
        <v>0</v>
      </c>
      <c r="BV30" s="3">
        <f t="shared" si="17"/>
        <v>0</v>
      </c>
      <c r="BW30" s="3">
        <f t="shared" si="17"/>
        <v>0</v>
      </c>
      <c r="BX30" s="3">
        <f t="shared" si="17"/>
        <v>0</v>
      </c>
      <c r="BY30" s="3">
        <f t="shared" si="17"/>
        <v>0</v>
      </c>
      <c r="BZ30" s="3">
        <f t="shared" si="17"/>
        <v>0</v>
      </c>
      <c r="CA30" s="3">
        <f aca="true" t="shared" si="18" ref="CA30:DF30">CA47</f>
        <v>0</v>
      </c>
      <c r="CB30" s="3">
        <f t="shared" si="18"/>
        <v>0</v>
      </c>
      <c r="CC30" s="3">
        <f t="shared" si="18"/>
        <v>0</v>
      </c>
      <c r="CD30" s="3">
        <f t="shared" si="18"/>
        <v>0</v>
      </c>
      <c r="CE30" s="3">
        <f t="shared" si="18"/>
        <v>0</v>
      </c>
      <c r="CF30" s="3">
        <f t="shared" si="18"/>
        <v>0</v>
      </c>
      <c r="CG30" s="3">
        <f t="shared" si="18"/>
        <v>0</v>
      </c>
      <c r="CH30" s="3">
        <f t="shared" si="18"/>
        <v>0</v>
      </c>
      <c r="CI30" s="3">
        <f t="shared" si="18"/>
        <v>0</v>
      </c>
      <c r="CJ30" s="3">
        <f t="shared" si="18"/>
        <v>0</v>
      </c>
      <c r="CK30" s="3">
        <f t="shared" si="18"/>
        <v>0</v>
      </c>
      <c r="CL30" s="3">
        <f t="shared" si="18"/>
        <v>0</v>
      </c>
      <c r="CM30" s="3">
        <f t="shared" si="18"/>
        <v>0</v>
      </c>
      <c r="CN30" s="3">
        <f t="shared" si="18"/>
        <v>0</v>
      </c>
      <c r="CO30" s="3">
        <f t="shared" si="18"/>
        <v>0</v>
      </c>
      <c r="CP30" s="3">
        <f t="shared" si="18"/>
        <v>0</v>
      </c>
      <c r="CQ30" s="3">
        <f t="shared" si="18"/>
        <v>0</v>
      </c>
      <c r="CR30" s="3">
        <f t="shared" si="18"/>
        <v>0</v>
      </c>
      <c r="CS30" s="3">
        <f t="shared" si="18"/>
        <v>0</v>
      </c>
      <c r="CT30" s="3">
        <f t="shared" si="18"/>
        <v>0</v>
      </c>
      <c r="CU30" s="3">
        <f t="shared" si="18"/>
        <v>0</v>
      </c>
      <c r="CV30" s="3">
        <f t="shared" si="18"/>
        <v>0</v>
      </c>
      <c r="CW30" s="3">
        <f t="shared" si="18"/>
        <v>0</v>
      </c>
      <c r="CX30" s="3">
        <f t="shared" si="18"/>
        <v>0</v>
      </c>
      <c r="CY30" s="3">
        <f t="shared" si="18"/>
        <v>0</v>
      </c>
      <c r="CZ30" s="3">
        <f t="shared" si="18"/>
        <v>0</v>
      </c>
      <c r="DA30" s="3">
        <f t="shared" si="18"/>
        <v>0</v>
      </c>
      <c r="DB30" s="3">
        <f t="shared" si="18"/>
        <v>0</v>
      </c>
      <c r="DC30" s="3">
        <f t="shared" si="18"/>
        <v>0</v>
      </c>
      <c r="DD30" s="3">
        <f t="shared" si="18"/>
        <v>0</v>
      </c>
      <c r="DE30" s="3">
        <f t="shared" si="18"/>
        <v>0</v>
      </c>
      <c r="DF30" s="3">
        <f t="shared" si="18"/>
        <v>0</v>
      </c>
      <c r="DG30" s="3">
        <f aca="true" t="shared" si="19" ref="DG30:DN30">DG47</f>
        <v>0</v>
      </c>
      <c r="DH30" s="3">
        <f t="shared" si="19"/>
        <v>0</v>
      </c>
      <c r="DI30" s="3">
        <f t="shared" si="19"/>
        <v>0</v>
      </c>
      <c r="DJ30" s="3">
        <f t="shared" si="19"/>
        <v>0</v>
      </c>
      <c r="DK30" s="3">
        <f t="shared" si="19"/>
        <v>0</v>
      </c>
      <c r="DL30" s="3">
        <f t="shared" si="19"/>
        <v>0</v>
      </c>
      <c r="DM30" s="3">
        <f t="shared" si="19"/>
        <v>0</v>
      </c>
      <c r="DN30" s="3">
        <f t="shared" si="19"/>
        <v>0</v>
      </c>
    </row>
    <row r="32" spans="1:206" ht="12.75">
      <c r="A32">
        <v>17</v>
      </c>
      <c r="B32">
        <v>1</v>
      </c>
      <c r="C32">
        <f>ROW(SmtRes!A1)</f>
        <v>1</v>
      </c>
      <c r="D32">
        <f>ROW(EtalonRes!A1)</f>
        <v>1</v>
      </c>
      <c r="E32" t="s">
        <v>21</v>
      </c>
      <c r="F32" t="s">
        <v>22</v>
      </c>
      <c r="G32" t="s">
        <v>23</v>
      </c>
      <c r="H32" t="s">
        <v>24</v>
      </c>
      <c r="I32">
        <f>ROUND(379.2/100,9)</f>
        <v>3.792</v>
      </c>
      <c r="J32">
        <v>0</v>
      </c>
      <c r="O32">
        <f aca="true" t="shared" si="20" ref="O32:O45">ROUND(CP32+GX32,2)</f>
        <v>226776.74</v>
      </c>
      <c r="P32">
        <f aca="true" t="shared" si="21" ref="P32:P45">ROUND(CQ32*I32,2)</f>
        <v>0</v>
      </c>
      <c r="Q32">
        <f aca="true" t="shared" si="22" ref="Q32:Q45">ROUND(CR32*I32,2)</f>
        <v>0</v>
      </c>
      <c r="R32">
        <f aca="true" t="shared" si="23" ref="R32:R45">ROUND(CS32*I32,2)</f>
        <v>0</v>
      </c>
      <c r="S32">
        <f aca="true" t="shared" si="24" ref="S32:S45">ROUND(CT32*I32,2)</f>
        <v>226776.74</v>
      </c>
      <c r="T32">
        <f aca="true" t="shared" si="25" ref="T32:T45">ROUND(CU32*I32,2)</f>
        <v>0</v>
      </c>
      <c r="U32">
        <f aca="true" t="shared" si="26" ref="U32:U45">CV32*I32</f>
        <v>1048.7270476799997</v>
      </c>
      <c r="V32">
        <f aca="true" t="shared" si="27" ref="V32:V45">CW32*I32</f>
        <v>0</v>
      </c>
      <c r="W32">
        <f aca="true" t="shared" si="28" ref="W32:W45">ROUND(CX32*I32,2)</f>
        <v>0</v>
      </c>
      <c r="X32">
        <f aca="true" t="shared" si="29" ref="X32:X45">ROUND(CY32,2)</f>
        <v>192760.23</v>
      </c>
      <c r="Y32">
        <f aca="true" t="shared" si="30" ref="Y32:Y45">ROUND(CZ32,2)</f>
        <v>92978.46</v>
      </c>
      <c r="AA32">
        <v>34388368</v>
      </c>
      <c r="AB32">
        <f aca="true" t="shared" si="31" ref="AB32:AB45">ROUND((AC32+AD32+AF32)+GT32,6)</f>
        <v>2349.013</v>
      </c>
      <c r="AC32">
        <f aca="true" t="shared" si="32" ref="AC32:AC45">ROUND((ES32),6)</f>
        <v>0</v>
      </c>
      <c r="AD32">
        <f>ROUND(((((ET32*1.15))-((EU32*1.15)))+AE32),6)</f>
        <v>0</v>
      </c>
      <c r="AE32">
        <f>ROUND(((EU32*1.15)),6)</f>
        <v>0</v>
      </c>
      <c r="AF32">
        <f>ROUND(((EV32*1.15)),6)</f>
        <v>2349.013</v>
      </c>
      <c r="AG32">
        <f aca="true" t="shared" si="33" ref="AG32:AG45">ROUND((AP32),6)</f>
        <v>0</v>
      </c>
      <c r="AH32">
        <f>((EW32*1.15))</f>
        <v>221.60499999999996</v>
      </c>
      <c r="AI32">
        <f>((EX32*1.15))</f>
        <v>0</v>
      </c>
      <c r="AJ32">
        <f aca="true" t="shared" si="34" ref="AJ32:AJ45">ROUND((AS32),6)</f>
        <v>0</v>
      </c>
      <c r="AK32">
        <v>2042.62</v>
      </c>
      <c r="AL32">
        <v>0</v>
      </c>
      <c r="AM32">
        <v>0</v>
      </c>
      <c r="AN32">
        <v>0</v>
      </c>
      <c r="AO32">
        <v>2042.62</v>
      </c>
      <c r="AP32">
        <v>0</v>
      </c>
      <c r="AQ32">
        <v>192.7</v>
      </c>
      <c r="AR32">
        <v>0</v>
      </c>
      <c r="AS32">
        <v>0</v>
      </c>
      <c r="AT32">
        <v>85</v>
      </c>
      <c r="AU32">
        <v>41</v>
      </c>
      <c r="AV32">
        <v>1.248</v>
      </c>
      <c r="AW32">
        <v>1</v>
      </c>
      <c r="AZ32">
        <v>1</v>
      </c>
      <c r="BA32">
        <v>20.4</v>
      </c>
      <c r="BB32">
        <v>1</v>
      </c>
      <c r="BC32">
        <v>1</v>
      </c>
      <c r="BH32">
        <v>0</v>
      </c>
      <c r="BI32">
        <v>1</v>
      </c>
      <c r="BJ32" t="s">
        <v>25</v>
      </c>
      <c r="BM32">
        <v>16</v>
      </c>
      <c r="BN32">
        <v>0</v>
      </c>
      <c r="BO32" t="s">
        <v>22</v>
      </c>
      <c r="BP32">
        <v>1</v>
      </c>
      <c r="BQ32">
        <v>30</v>
      </c>
      <c r="BR32">
        <v>0</v>
      </c>
      <c r="BS32">
        <v>20.4</v>
      </c>
      <c r="BT32">
        <v>1</v>
      </c>
      <c r="BU32">
        <v>1</v>
      </c>
      <c r="BV32">
        <v>1</v>
      </c>
      <c r="BW32">
        <v>1</v>
      </c>
      <c r="BX32">
        <v>1</v>
      </c>
      <c r="BZ32">
        <v>85</v>
      </c>
      <c r="CA32">
        <v>41</v>
      </c>
      <c r="CF32">
        <v>0</v>
      </c>
      <c r="CG32">
        <v>0</v>
      </c>
      <c r="CM32">
        <v>0</v>
      </c>
      <c r="CN32" t="s">
        <v>26</v>
      </c>
      <c r="CO32">
        <v>0</v>
      </c>
      <c r="CP32">
        <f aca="true" t="shared" si="35" ref="CP32:CP45">(P32+Q32+S32)</f>
        <v>226776.74</v>
      </c>
      <c r="CQ32">
        <f aca="true" t="shared" si="36" ref="CQ32:CQ45">(AC32*BC32*AW32)</f>
        <v>0</v>
      </c>
      <c r="CR32">
        <f>(((((ET32*1.15))*BB32-((EU32*1.15))*BS32)+AE32*BS32)*AV32)</f>
        <v>0</v>
      </c>
      <c r="CS32">
        <f aca="true" t="shared" si="37" ref="CS32:CS45">(AE32*BS32*AV32)</f>
        <v>0</v>
      </c>
      <c r="CT32">
        <f aca="true" t="shared" si="38" ref="CT32:CT45">(AF32*BA32*AV32)</f>
        <v>59803.99176959999</v>
      </c>
      <c r="CU32">
        <f aca="true" t="shared" si="39" ref="CU32:CU45">AG32</f>
        <v>0</v>
      </c>
      <c r="CV32">
        <f aca="true" t="shared" si="40" ref="CV32:CV45">(AH32*AV32)</f>
        <v>276.56303999999994</v>
      </c>
      <c r="CW32">
        <f aca="true" t="shared" si="41" ref="CW32:CW45">AI32</f>
        <v>0</v>
      </c>
      <c r="CX32">
        <f aca="true" t="shared" si="42" ref="CX32:CX45">AJ32</f>
        <v>0</v>
      </c>
      <c r="CY32">
        <f aca="true" t="shared" si="43" ref="CY32:CY45">S32*(BZ32/100)</f>
        <v>192760.229</v>
      </c>
      <c r="CZ32">
        <f aca="true" t="shared" si="44" ref="CZ32:CZ45">S32*(CA32/100)</f>
        <v>92978.4634</v>
      </c>
      <c r="DE32" t="s">
        <v>27</v>
      </c>
      <c r="DF32" t="s">
        <v>27</v>
      </c>
      <c r="DG32" t="s">
        <v>27</v>
      </c>
      <c r="DI32" t="s">
        <v>27</v>
      </c>
      <c r="DJ32" t="s">
        <v>27</v>
      </c>
      <c r="DN32">
        <v>105</v>
      </c>
      <c r="DO32">
        <v>77</v>
      </c>
      <c r="DP32">
        <v>1.248</v>
      </c>
      <c r="DQ32">
        <v>1</v>
      </c>
      <c r="DU32">
        <v>1007</v>
      </c>
      <c r="DV32" t="s">
        <v>24</v>
      </c>
      <c r="DW32" t="s">
        <v>24</v>
      </c>
      <c r="DX32">
        <v>100</v>
      </c>
      <c r="EE32">
        <v>34317431</v>
      </c>
      <c r="EF32">
        <v>30</v>
      </c>
      <c r="EG32" t="s">
        <v>28</v>
      </c>
      <c r="EH32">
        <v>0</v>
      </c>
      <c r="EJ32">
        <v>1</v>
      </c>
      <c r="EK32">
        <v>16</v>
      </c>
      <c r="EL32" t="s">
        <v>29</v>
      </c>
      <c r="EM32" t="s">
        <v>30</v>
      </c>
      <c r="EO32" t="s">
        <v>31</v>
      </c>
      <c r="EQ32">
        <v>0</v>
      </c>
      <c r="ER32">
        <v>2042.62</v>
      </c>
      <c r="ES32">
        <v>0</v>
      </c>
      <c r="ET32">
        <v>0</v>
      </c>
      <c r="EU32">
        <v>0</v>
      </c>
      <c r="EV32">
        <v>2042.62</v>
      </c>
      <c r="EW32">
        <v>192.7</v>
      </c>
      <c r="EX32">
        <v>0</v>
      </c>
      <c r="EY32">
        <v>0</v>
      </c>
      <c r="FQ32">
        <v>0</v>
      </c>
      <c r="FR32">
        <f aca="true" t="shared" si="45" ref="FR32:FR45">ROUND(IF(AND(BH32=3,BI32=3),P32,0),2)</f>
        <v>0</v>
      </c>
      <c r="FS32">
        <v>0</v>
      </c>
      <c r="FX32">
        <v>105</v>
      </c>
      <c r="FY32">
        <v>77</v>
      </c>
      <c r="GD32">
        <v>0</v>
      </c>
      <c r="GF32">
        <v>-1910584882</v>
      </c>
      <c r="GG32">
        <v>2</v>
      </c>
      <c r="GH32">
        <v>1</v>
      </c>
      <c r="GI32">
        <v>2</v>
      </c>
      <c r="GJ32">
        <v>0</v>
      </c>
      <c r="GK32">
        <f>ROUND(R32*(R12)/100,2)</f>
        <v>0</v>
      </c>
      <c r="GL32">
        <f aca="true" t="shared" si="46" ref="GL32:GL45">ROUND(IF(AND(BH32=3,BI32=3,FS32&lt;&gt;0),P32,0),2)</f>
        <v>0</v>
      </c>
      <c r="GM32">
        <f aca="true" t="shared" si="47" ref="GM32:GM45">O32+X32+Y32+GK32</f>
        <v>512515.43</v>
      </c>
      <c r="GN32">
        <f aca="true" t="shared" si="48" ref="GN32:GN45">ROUND(IF(OR(BI32=0,BI32=1),O32+X32+Y32+GK32-GX32,0),2)</f>
        <v>512515.43</v>
      </c>
      <c r="GO32">
        <f aca="true" t="shared" si="49" ref="GO32:GO45">ROUND(IF(BI32=2,O32+X32+Y32+GK32-GX32,0),2)</f>
        <v>0</v>
      </c>
      <c r="GP32">
        <f aca="true" t="shared" si="50" ref="GP32:GP45">ROUND(IF(BI32=4,O32+X32+Y32+GK32,GX32),2)</f>
        <v>0</v>
      </c>
      <c r="GT32">
        <v>0</v>
      </c>
      <c r="GU32">
        <v>1</v>
      </c>
      <c r="GV32">
        <v>0</v>
      </c>
      <c r="GW32">
        <v>0</v>
      </c>
      <c r="GX32">
        <f aca="true" t="shared" si="51" ref="GX32:GX45">ROUND(GT32*GU32*I32,2)</f>
        <v>0</v>
      </c>
    </row>
    <row r="33" spans="1:206" ht="12.75">
      <c r="A33">
        <v>17</v>
      </c>
      <c r="B33">
        <v>1</v>
      </c>
      <c r="C33">
        <f>ROW(SmtRes!A4)</f>
        <v>4</v>
      </c>
      <c r="D33">
        <f>ROW(EtalonRes!A4)</f>
        <v>4</v>
      </c>
      <c r="E33" t="s">
        <v>32</v>
      </c>
      <c r="F33" t="s">
        <v>33</v>
      </c>
      <c r="G33" t="s">
        <v>34</v>
      </c>
      <c r="H33" t="s">
        <v>35</v>
      </c>
      <c r="I33">
        <f>ROUND(18.84/10,9)</f>
        <v>1.884</v>
      </c>
      <c r="J33">
        <v>0</v>
      </c>
      <c r="O33">
        <f t="shared" si="20"/>
        <v>5577.98</v>
      </c>
      <c r="P33">
        <f t="shared" si="21"/>
        <v>0</v>
      </c>
      <c r="Q33">
        <f t="shared" si="22"/>
        <v>430.94</v>
      </c>
      <c r="R33">
        <f t="shared" si="23"/>
        <v>255.14</v>
      </c>
      <c r="S33">
        <f t="shared" si="24"/>
        <v>5147.04</v>
      </c>
      <c r="T33">
        <f t="shared" si="25"/>
        <v>0</v>
      </c>
      <c r="U33">
        <f t="shared" si="26"/>
        <v>23.579974439999994</v>
      </c>
      <c r="V33">
        <f t="shared" si="27"/>
        <v>0</v>
      </c>
      <c r="W33">
        <f t="shared" si="28"/>
        <v>0</v>
      </c>
      <c r="X33">
        <f t="shared" si="29"/>
        <v>5455.86</v>
      </c>
      <c r="Y33">
        <f t="shared" si="30"/>
        <v>2727.93</v>
      </c>
      <c r="AA33">
        <v>34388368</v>
      </c>
      <c r="AB33">
        <f t="shared" si="31"/>
        <v>152.375</v>
      </c>
      <c r="AC33">
        <f t="shared" si="32"/>
        <v>0</v>
      </c>
      <c r="AD33">
        <f>ROUND(((((ET33*1.15))-((EU33*1.15)))+AE33),6)</f>
        <v>26.864</v>
      </c>
      <c r="AE33">
        <f>ROUND(((EU33*1.15)),6)</f>
        <v>6.2215</v>
      </c>
      <c r="AF33">
        <f>ROUND(((EV33*1.15)),6)</f>
        <v>125.511</v>
      </c>
      <c r="AG33">
        <f t="shared" si="33"/>
        <v>0</v>
      </c>
      <c r="AH33">
        <f>((EW33*1.15))</f>
        <v>11.729999999999999</v>
      </c>
      <c r="AI33">
        <f>((EX33*1.15))</f>
        <v>0</v>
      </c>
      <c r="AJ33">
        <f t="shared" si="34"/>
        <v>0</v>
      </c>
      <c r="AK33">
        <v>132.5</v>
      </c>
      <c r="AL33">
        <v>0</v>
      </c>
      <c r="AM33">
        <v>23.36</v>
      </c>
      <c r="AN33">
        <v>5.41</v>
      </c>
      <c r="AO33">
        <v>109.14</v>
      </c>
      <c r="AP33">
        <v>0</v>
      </c>
      <c r="AQ33">
        <v>10.2</v>
      </c>
      <c r="AR33">
        <v>0</v>
      </c>
      <c r="AS33">
        <v>0</v>
      </c>
      <c r="AT33">
        <v>106</v>
      </c>
      <c r="AU33">
        <v>53</v>
      </c>
      <c r="AV33">
        <v>1.067</v>
      </c>
      <c r="AW33">
        <v>1.003</v>
      </c>
      <c r="AZ33">
        <v>1</v>
      </c>
      <c r="BA33">
        <v>20.4</v>
      </c>
      <c r="BB33">
        <v>7.98</v>
      </c>
      <c r="BC33">
        <v>1</v>
      </c>
      <c r="BH33">
        <v>0</v>
      </c>
      <c r="BI33">
        <v>1</v>
      </c>
      <c r="BJ33" t="s">
        <v>36</v>
      </c>
      <c r="BM33">
        <v>141</v>
      </c>
      <c r="BN33">
        <v>0</v>
      </c>
      <c r="BO33" t="s">
        <v>33</v>
      </c>
      <c r="BP33">
        <v>1</v>
      </c>
      <c r="BQ33">
        <v>30</v>
      </c>
      <c r="BR33">
        <v>0</v>
      </c>
      <c r="BS33">
        <v>20.4</v>
      </c>
      <c r="BT33">
        <v>1</v>
      </c>
      <c r="BU33">
        <v>1</v>
      </c>
      <c r="BV33">
        <v>1</v>
      </c>
      <c r="BW33">
        <v>1</v>
      </c>
      <c r="BX33">
        <v>1</v>
      </c>
      <c r="BZ33">
        <v>106</v>
      </c>
      <c r="CA33">
        <v>53</v>
      </c>
      <c r="CF33">
        <v>0</v>
      </c>
      <c r="CG33">
        <v>0</v>
      </c>
      <c r="CM33">
        <v>0</v>
      </c>
      <c r="CN33" t="s">
        <v>26</v>
      </c>
      <c r="CO33">
        <v>0</v>
      </c>
      <c r="CP33">
        <f t="shared" si="35"/>
        <v>5577.98</v>
      </c>
      <c r="CQ33">
        <f t="shared" si="36"/>
        <v>0</v>
      </c>
      <c r="CR33">
        <f>(((((ET33*1.15))*BB33-((EU33*1.15))*BS33)+AE33*BS33)*AV33)</f>
        <v>228.73782623999998</v>
      </c>
      <c r="CS33">
        <f t="shared" si="37"/>
        <v>135.4221462</v>
      </c>
      <c r="CT33">
        <f t="shared" si="38"/>
        <v>2731.9728348</v>
      </c>
      <c r="CU33">
        <f t="shared" si="39"/>
        <v>0</v>
      </c>
      <c r="CV33">
        <f t="shared" si="40"/>
        <v>12.515909999999998</v>
      </c>
      <c r="CW33">
        <f t="shared" si="41"/>
        <v>0</v>
      </c>
      <c r="CX33">
        <f t="shared" si="42"/>
        <v>0</v>
      </c>
      <c r="CY33">
        <f t="shared" si="43"/>
        <v>5455.8624</v>
      </c>
      <c r="CZ33">
        <f t="shared" si="44"/>
        <v>2727.9312</v>
      </c>
      <c r="DE33" t="s">
        <v>27</v>
      </c>
      <c r="DF33" t="s">
        <v>27</v>
      </c>
      <c r="DG33" t="s">
        <v>27</v>
      </c>
      <c r="DI33" t="s">
        <v>27</v>
      </c>
      <c r="DJ33" t="s">
        <v>27</v>
      </c>
      <c r="DN33">
        <v>133</v>
      </c>
      <c r="DO33">
        <v>113</v>
      </c>
      <c r="DP33">
        <v>1.067</v>
      </c>
      <c r="DQ33">
        <v>1.003</v>
      </c>
      <c r="DU33">
        <v>1007</v>
      </c>
      <c r="DV33" t="s">
        <v>35</v>
      </c>
      <c r="DW33" t="s">
        <v>35</v>
      </c>
      <c r="DX33">
        <v>10</v>
      </c>
      <c r="EE33">
        <v>34317556</v>
      </c>
      <c r="EF33">
        <v>30</v>
      </c>
      <c r="EG33" t="s">
        <v>28</v>
      </c>
      <c r="EH33">
        <v>0</v>
      </c>
      <c r="EJ33">
        <v>1</v>
      </c>
      <c r="EK33">
        <v>141</v>
      </c>
      <c r="EL33" t="s">
        <v>37</v>
      </c>
      <c r="EM33" t="s">
        <v>38</v>
      </c>
      <c r="EO33" t="s">
        <v>31</v>
      </c>
      <c r="EQ33">
        <v>0</v>
      </c>
      <c r="ER33">
        <v>132.5</v>
      </c>
      <c r="ES33">
        <v>0</v>
      </c>
      <c r="ET33">
        <v>23.36</v>
      </c>
      <c r="EU33">
        <v>5.41</v>
      </c>
      <c r="EV33">
        <v>109.14</v>
      </c>
      <c r="EW33">
        <v>10.2</v>
      </c>
      <c r="EX33">
        <v>0</v>
      </c>
      <c r="EY33">
        <v>0</v>
      </c>
      <c r="FQ33">
        <v>0</v>
      </c>
      <c r="FR33">
        <f t="shared" si="45"/>
        <v>0</v>
      </c>
      <c r="FS33">
        <v>0</v>
      </c>
      <c r="FX33">
        <v>133</v>
      </c>
      <c r="FY33">
        <v>113</v>
      </c>
      <c r="GD33">
        <v>0</v>
      </c>
      <c r="GF33">
        <v>-936028263</v>
      </c>
      <c r="GG33">
        <v>2</v>
      </c>
      <c r="GH33">
        <v>1</v>
      </c>
      <c r="GI33">
        <v>2</v>
      </c>
      <c r="GJ33">
        <v>0</v>
      </c>
      <c r="GK33">
        <f>ROUND(R33*(R12)/100,2)</f>
        <v>426.08</v>
      </c>
      <c r="GL33">
        <f t="shared" si="46"/>
        <v>0</v>
      </c>
      <c r="GM33">
        <f t="shared" si="47"/>
        <v>14187.85</v>
      </c>
      <c r="GN33">
        <f t="shared" si="48"/>
        <v>14187.85</v>
      </c>
      <c r="GO33">
        <f t="shared" si="49"/>
        <v>0</v>
      </c>
      <c r="GP33">
        <f t="shared" si="50"/>
        <v>0</v>
      </c>
      <c r="GT33">
        <v>0</v>
      </c>
      <c r="GU33">
        <v>1</v>
      </c>
      <c r="GV33">
        <v>0</v>
      </c>
      <c r="GW33">
        <v>0</v>
      </c>
      <c r="GX33">
        <f t="shared" si="51"/>
        <v>0</v>
      </c>
    </row>
    <row r="34" spans="1:206" ht="12.75">
      <c r="A34">
        <v>18</v>
      </c>
      <c r="B34">
        <v>1</v>
      </c>
      <c r="C34">
        <v>4</v>
      </c>
      <c r="E34" t="s">
        <v>39</v>
      </c>
      <c r="F34" t="s">
        <v>40</v>
      </c>
      <c r="G34" t="s">
        <v>41</v>
      </c>
      <c r="H34" t="s">
        <v>42</v>
      </c>
      <c r="I34">
        <f>I33*J34</f>
        <v>18.84</v>
      </c>
      <c r="J34">
        <v>10</v>
      </c>
      <c r="O34">
        <f t="shared" si="20"/>
        <v>10812.5</v>
      </c>
      <c r="P34">
        <f t="shared" si="21"/>
        <v>10812.5</v>
      </c>
      <c r="Q34">
        <f t="shared" si="22"/>
        <v>0</v>
      </c>
      <c r="R34">
        <f t="shared" si="23"/>
        <v>0</v>
      </c>
      <c r="S34">
        <f t="shared" si="24"/>
        <v>0</v>
      </c>
      <c r="T34">
        <f t="shared" si="25"/>
        <v>0</v>
      </c>
      <c r="U34">
        <f t="shared" si="26"/>
        <v>0</v>
      </c>
      <c r="V34">
        <f t="shared" si="27"/>
        <v>0</v>
      </c>
      <c r="W34">
        <f t="shared" si="28"/>
        <v>0</v>
      </c>
      <c r="X34">
        <f t="shared" si="29"/>
        <v>0</v>
      </c>
      <c r="Y34">
        <f t="shared" si="30"/>
        <v>0</v>
      </c>
      <c r="AA34">
        <v>34388368</v>
      </c>
      <c r="AB34">
        <f t="shared" si="31"/>
        <v>104.99</v>
      </c>
      <c r="AC34">
        <f t="shared" si="32"/>
        <v>104.99</v>
      </c>
      <c r="AD34">
        <f>ROUND((((ET34)-(EU34))+AE34),6)</f>
        <v>0</v>
      </c>
      <c r="AE34">
        <f>ROUND((EU34),6)</f>
        <v>0</v>
      </c>
      <c r="AF34">
        <f>ROUND((EV34),6)</f>
        <v>0</v>
      </c>
      <c r="AG34">
        <f t="shared" si="33"/>
        <v>0</v>
      </c>
      <c r="AH34">
        <f>(EW34)</f>
        <v>0</v>
      </c>
      <c r="AI34">
        <f>(EX34)</f>
        <v>0</v>
      </c>
      <c r="AJ34">
        <f t="shared" si="34"/>
        <v>0</v>
      </c>
      <c r="AK34">
        <v>104.99</v>
      </c>
      <c r="AL34">
        <v>104.99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1</v>
      </c>
      <c r="AW34">
        <v>1.003</v>
      </c>
      <c r="AZ34">
        <v>1</v>
      </c>
      <c r="BA34">
        <v>1</v>
      </c>
      <c r="BB34">
        <v>1</v>
      </c>
      <c r="BC34">
        <v>5.45</v>
      </c>
      <c r="BH34">
        <v>3</v>
      </c>
      <c r="BI34">
        <v>1</v>
      </c>
      <c r="BJ34" t="s">
        <v>43</v>
      </c>
      <c r="BM34">
        <v>141</v>
      </c>
      <c r="BN34">
        <v>0</v>
      </c>
      <c r="BO34" t="s">
        <v>40</v>
      </c>
      <c r="BP34">
        <v>1</v>
      </c>
      <c r="BQ34">
        <v>30</v>
      </c>
      <c r="BR34">
        <v>0</v>
      </c>
      <c r="BS34">
        <v>1</v>
      </c>
      <c r="BT34">
        <v>1</v>
      </c>
      <c r="BU34">
        <v>1</v>
      </c>
      <c r="BV34">
        <v>1</v>
      </c>
      <c r="BW34">
        <v>1</v>
      </c>
      <c r="BX34">
        <v>1</v>
      </c>
      <c r="BZ34">
        <v>0</v>
      </c>
      <c r="CA34">
        <v>0</v>
      </c>
      <c r="CF34">
        <v>0</v>
      </c>
      <c r="CG34">
        <v>0</v>
      </c>
      <c r="CM34">
        <v>0</v>
      </c>
      <c r="CO34">
        <v>0</v>
      </c>
      <c r="CP34">
        <f t="shared" si="35"/>
        <v>10812.5</v>
      </c>
      <c r="CQ34">
        <f t="shared" si="36"/>
        <v>573.9120865</v>
      </c>
      <c r="CR34">
        <f>((((ET34)*BB34-(EU34)*BS34)+AE34*BS34)*AV34)</f>
        <v>0</v>
      </c>
      <c r="CS34">
        <f t="shared" si="37"/>
        <v>0</v>
      </c>
      <c r="CT34">
        <f t="shared" si="38"/>
        <v>0</v>
      </c>
      <c r="CU34">
        <f t="shared" si="39"/>
        <v>0</v>
      </c>
      <c r="CV34">
        <f t="shared" si="40"/>
        <v>0</v>
      </c>
      <c r="CW34">
        <f t="shared" si="41"/>
        <v>0</v>
      </c>
      <c r="CX34">
        <f t="shared" si="42"/>
        <v>0</v>
      </c>
      <c r="CY34">
        <f t="shared" si="43"/>
        <v>0</v>
      </c>
      <c r="CZ34">
        <f t="shared" si="44"/>
        <v>0</v>
      </c>
      <c r="DN34">
        <v>133</v>
      </c>
      <c r="DO34">
        <v>113</v>
      </c>
      <c r="DP34">
        <v>1.067</v>
      </c>
      <c r="DQ34">
        <v>1.003</v>
      </c>
      <c r="DU34">
        <v>1007</v>
      </c>
      <c r="DV34" t="s">
        <v>42</v>
      </c>
      <c r="DW34" t="s">
        <v>42</v>
      </c>
      <c r="DX34">
        <v>1</v>
      </c>
      <c r="EE34">
        <v>34317556</v>
      </c>
      <c r="EF34">
        <v>30</v>
      </c>
      <c r="EG34" t="s">
        <v>28</v>
      </c>
      <c r="EH34">
        <v>0</v>
      </c>
      <c r="EJ34">
        <v>1</v>
      </c>
      <c r="EK34">
        <v>141</v>
      </c>
      <c r="EL34" t="s">
        <v>37</v>
      </c>
      <c r="EM34" t="s">
        <v>38</v>
      </c>
      <c r="EQ34">
        <v>0</v>
      </c>
      <c r="ER34">
        <v>104.99</v>
      </c>
      <c r="ES34">
        <v>104.99</v>
      </c>
      <c r="ET34">
        <v>0</v>
      </c>
      <c r="EU34">
        <v>0</v>
      </c>
      <c r="EV34">
        <v>0</v>
      </c>
      <c r="EW34">
        <v>0</v>
      </c>
      <c r="EX34">
        <v>0</v>
      </c>
      <c r="FQ34">
        <v>0</v>
      </c>
      <c r="FR34">
        <f t="shared" si="45"/>
        <v>0</v>
      </c>
      <c r="FS34">
        <v>0</v>
      </c>
      <c r="FX34">
        <v>133</v>
      </c>
      <c r="FY34">
        <v>113</v>
      </c>
      <c r="GD34">
        <v>0</v>
      </c>
      <c r="GF34">
        <v>-419971176</v>
      </c>
      <c r="GG34">
        <v>2</v>
      </c>
      <c r="GH34">
        <v>1</v>
      </c>
      <c r="GI34">
        <v>2</v>
      </c>
      <c r="GJ34">
        <v>0</v>
      </c>
      <c r="GK34">
        <f>ROUND(R34*(R12)/100,2)</f>
        <v>0</v>
      </c>
      <c r="GL34">
        <f t="shared" si="46"/>
        <v>0</v>
      </c>
      <c r="GM34">
        <f t="shared" si="47"/>
        <v>10812.5</v>
      </c>
      <c r="GN34">
        <f t="shared" si="48"/>
        <v>10812.5</v>
      </c>
      <c r="GO34">
        <f t="shared" si="49"/>
        <v>0</v>
      </c>
      <c r="GP34">
        <f t="shared" si="50"/>
        <v>0</v>
      </c>
      <c r="GT34">
        <v>0</v>
      </c>
      <c r="GU34">
        <v>1</v>
      </c>
      <c r="GV34">
        <v>0</v>
      </c>
      <c r="GW34">
        <v>0</v>
      </c>
      <c r="GX34">
        <f t="shared" si="51"/>
        <v>0</v>
      </c>
    </row>
    <row r="35" spans="1:206" ht="12.75">
      <c r="A35">
        <v>17</v>
      </c>
      <c r="B35">
        <v>1</v>
      </c>
      <c r="C35">
        <f>ROW(SmtRes!A5)</f>
        <v>5</v>
      </c>
      <c r="E35" t="s">
        <v>44</v>
      </c>
      <c r="F35" t="s">
        <v>45</v>
      </c>
      <c r="G35" t="s">
        <v>46</v>
      </c>
      <c r="H35" t="s">
        <v>47</v>
      </c>
      <c r="I35">
        <f>ROUND(517/100,9)</f>
        <v>5.17</v>
      </c>
      <c r="J35">
        <v>0</v>
      </c>
      <c r="O35">
        <f t="shared" si="20"/>
        <v>31538.51</v>
      </c>
      <c r="P35">
        <f t="shared" si="21"/>
        <v>16.37</v>
      </c>
      <c r="Q35">
        <f t="shared" si="22"/>
        <v>21819.93</v>
      </c>
      <c r="R35">
        <f t="shared" si="23"/>
        <v>11627.89</v>
      </c>
      <c r="S35">
        <f t="shared" si="24"/>
        <v>9702.21</v>
      </c>
      <c r="T35">
        <f t="shared" si="25"/>
        <v>0</v>
      </c>
      <c r="U35">
        <f t="shared" si="26"/>
        <v>38.57059887999999</v>
      </c>
      <c r="V35">
        <f t="shared" si="27"/>
        <v>0</v>
      </c>
      <c r="W35">
        <f t="shared" si="28"/>
        <v>0</v>
      </c>
      <c r="X35">
        <f t="shared" si="29"/>
        <v>8731.99</v>
      </c>
      <c r="Y35">
        <f t="shared" si="30"/>
        <v>4171.95</v>
      </c>
      <c r="AA35">
        <v>34388368</v>
      </c>
      <c r="AB35">
        <f t="shared" si="31"/>
        <v>531.7105</v>
      </c>
      <c r="AC35">
        <f t="shared" si="32"/>
        <v>0.56</v>
      </c>
      <c r="AD35">
        <f>ROUND(((((ET35*1.15))-((EU35*1.15)))+AE35),6)</f>
        <v>444.935</v>
      </c>
      <c r="AE35">
        <f>ROUND(((EU35*1.15)),6)</f>
        <v>103.3275</v>
      </c>
      <c r="AF35">
        <f>ROUND(((EV35*1.15)),6)</f>
        <v>86.2155</v>
      </c>
      <c r="AG35">
        <f t="shared" si="33"/>
        <v>0</v>
      </c>
      <c r="AH35">
        <f>((EW35*1.15))</f>
        <v>6.991999999999999</v>
      </c>
      <c r="AI35">
        <f>((EX35*1.15))</f>
        <v>0</v>
      </c>
      <c r="AJ35">
        <f t="shared" si="34"/>
        <v>0</v>
      </c>
      <c r="AK35">
        <v>462.43</v>
      </c>
      <c r="AL35">
        <v>0.56</v>
      </c>
      <c r="AM35">
        <v>386.9</v>
      </c>
      <c r="AN35">
        <v>89.85</v>
      </c>
      <c r="AO35">
        <v>74.97</v>
      </c>
      <c r="AP35">
        <v>0</v>
      </c>
      <c r="AQ35">
        <v>6.08</v>
      </c>
      <c r="AR35">
        <v>0</v>
      </c>
      <c r="AS35">
        <v>0</v>
      </c>
      <c r="AT35">
        <v>90</v>
      </c>
      <c r="AU35">
        <v>43</v>
      </c>
      <c r="AV35">
        <v>1.067</v>
      </c>
      <c r="AW35">
        <v>1.081</v>
      </c>
      <c r="AZ35">
        <v>1</v>
      </c>
      <c r="BA35">
        <v>20.4</v>
      </c>
      <c r="BB35">
        <v>8.89</v>
      </c>
      <c r="BC35">
        <v>5.23</v>
      </c>
      <c r="BH35">
        <v>0</v>
      </c>
      <c r="BI35">
        <v>2</v>
      </c>
      <c r="BJ35" t="s">
        <v>48</v>
      </c>
      <c r="BM35">
        <v>318</v>
      </c>
      <c r="BN35">
        <v>0</v>
      </c>
      <c r="BO35" t="s">
        <v>45</v>
      </c>
      <c r="BP35">
        <v>1</v>
      </c>
      <c r="BQ35">
        <v>40</v>
      </c>
      <c r="BR35">
        <v>0</v>
      </c>
      <c r="BS35">
        <v>20.4</v>
      </c>
      <c r="BT35">
        <v>1</v>
      </c>
      <c r="BU35">
        <v>1</v>
      </c>
      <c r="BV35">
        <v>1</v>
      </c>
      <c r="BW35">
        <v>1</v>
      </c>
      <c r="BX35">
        <v>1</v>
      </c>
      <c r="BZ35">
        <v>90</v>
      </c>
      <c r="CA35">
        <v>43</v>
      </c>
      <c r="CF35">
        <v>0</v>
      </c>
      <c r="CG35">
        <v>0</v>
      </c>
      <c r="CM35">
        <v>0</v>
      </c>
      <c r="CN35" t="s">
        <v>521</v>
      </c>
      <c r="CO35">
        <v>0</v>
      </c>
      <c r="CP35">
        <f t="shared" si="35"/>
        <v>31538.51</v>
      </c>
      <c r="CQ35">
        <f t="shared" si="36"/>
        <v>3.166032800000001</v>
      </c>
      <c r="CR35">
        <f>(((((ET35*1.15))*BB35-((EU35*1.15))*BS35)+AE35*BS35)*AV35)</f>
        <v>4220.48878405</v>
      </c>
      <c r="CS35">
        <f t="shared" si="37"/>
        <v>2249.1090269999995</v>
      </c>
      <c r="CT35">
        <f t="shared" si="38"/>
        <v>1876.6355454</v>
      </c>
      <c r="CU35">
        <f t="shared" si="39"/>
        <v>0</v>
      </c>
      <c r="CV35">
        <f t="shared" si="40"/>
        <v>7.460463999999999</v>
      </c>
      <c r="CW35">
        <f t="shared" si="41"/>
        <v>0</v>
      </c>
      <c r="CX35">
        <f t="shared" si="42"/>
        <v>0</v>
      </c>
      <c r="CY35">
        <f t="shared" si="43"/>
        <v>8731.989</v>
      </c>
      <c r="CZ35">
        <f t="shared" si="44"/>
        <v>4171.9502999999995</v>
      </c>
      <c r="DE35" t="s">
        <v>27</v>
      </c>
      <c r="DF35" t="s">
        <v>27</v>
      </c>
      <c r="DG35" t="s">
        <v>27</v>
      </c>
      <c r="DI35" t="s">
        <v>27</v>
      </c>
      <c r="DJ35" t="s">
        <v>27</v>
      </c>
      <c r="DN35">
        <v>112</v>
      </c>
      <c r="DO35">
        <v>70</v>
      </c>
      <c r="DP35">
        <v>1.067</v>
      </c>
      <c r="DQ35">
        <v>1.081</v>
      </c>
      <c r="DU35">
        <v>1003</v>
      </c>
      <c r="DV35" t="s">
        <v>47</v>
      </c>
      <c r="DW35" t="s">
        <v>47</v>
      </c>
      <c r="DX35">
        <v>100</v>
      </c>
      <c r="EE35">
        <v>34317733</v>
      </c>
      <c r="EF35">
        <v>40</v>
      </c>
      <c r="EG35" t="s">
        <v>49</v>
      </c>
      <c r="EH35">
        <v>0</v>
      </c>
      <c r="EJ35">
        <v>2</v>
      </c>
      <c r="EK35">
        <v>318</v>
      </c>
      <c r="EL35" t="s">
        <v>50</v>
      </c>
      <c r="EM35" t="s">
        <v>51</v>
      </c>
      <c r="EO35" t="s">
        <v>52</v>
      </c>
      <c r="EQ35">
        <v>0</v>
      </c>
      <c r="ER35">
        <v>462.43</v>
      </c>
      <c r="ES35">
        <v>0.56</v>
      </c>
      <c r="ET35">
        <v>386.9</v>
      </c>
      <c r="EU35">
        <v>89.85</v>
      </c>
      <c r="EV35">
        <v>74.97</v>
      </c>
      <c r="EW35">
        <v>6.08</v>
      </c>
      <c r="EX35">
        <v>0</v>
      </c>
      <c r="EY35">
        <v>0</v>
      </c>
      <c r="FQ35">
        <v>0</v>
      </c>
      <c r="FR35">
        <f t="shared" si="45"/>
        <v>0</v>
      </c>
      <c r="FS35">
        <v>0</v>
      </c>
      <c r="FX35">
        <v>112</v>
      </c>
      <c r="FY35">
        <v>70</v>
      </c>
      <c r="GD35">
        <v>0</v>
      </c>
      <c r="GF35">
        <v>-1499495025</v>
      </c>
      <c r="GG35">
        <v>2</v>
      </c>
      <c r="GH35">
        <v>1</v>
      </c>
      <c r="GI35">
        <v>2</v>
      </c>
      <c r="GJ35">
        <v>0</v>
      </c>
      <c r="GK35">
        <f>ROUND(R35*(R12)/100,2)</f>
        <v>19418.58</v>
      </c>
      <c r="GL35">
        <f t="shared" si="46"/>
        <v>0</v>
      </c>
      <c r="GM35">
        <f t="shared" si="47"/>
        <v>63861.03</v>
      </c>
      <c r="GN35">
        <f t="shared" si="48"/>
        <v>0</v>
      </c>
      <c r="GO35">
        <f t="shared" si="49"/>
        <v>63861.03</v>
      </c>
      <c r="GP35">
        <f t="shared" si="50"/>
        <v>0</v>
      </c>
      <c r="GT35">
        <v>0</v>
      </c>
      <c r="GU35">
        <v>1</v>
      </c>
      <c r="GV35">
        <v>0</v>
      </c>
      <c r="GW35">
        <v>0</v>
      </c>
      <c r="GX35">
        <f t="shared" si="51"/>
        <v>0</v>
      </c>
    </row>
    <row r="36" spans="1:206" ht="12.75">
      <c r="A36">
        <v>18</v>
      </c>
      <c r="B36">
        <v>1</v>
      </c>
      <c r="C36">
        <v>5</v>
      </c>
      <c r="E36" t="s">
        <v>53</v>
      </c>
      <c r="F36" t="s">
        <v>40</v>
      </c>
      <c r="G36" t="s">
        <v>41</v>
      </c>
      <c r="H36" t="s">
        <v>42</v>
      </c>
      <c r="I36">
        <f>I35*J36</f>
        <v>20.68</v>
      </c>
      <c r="J36">
        <v>4</v>
      </c>
      <c r="O36">
        <f t="shared" si="20"/>
        <v>12791.48</v>
      </c>
      <c r="P36">
        <f t="shared" si="21"/>
        <v>12791.48</v>
      </c>
      <c r="Q36">
        <f t="shared" si="22"/>
        <v>0</v>
      </c>
      <c r="R36">
        <f t="shared" si="23"/>
        <v>0</v>
      </c>
      <c r="S36">
        <f t="shared" si="24"/>
        <v>0</v>
      </c>
      <c r="T36">
        <f t="shared" si="25"/>
        <v>0</v>
      </c>
      <c r="U36">
        <f t="shared" si="26"/>
        <v>0</v>
      </c>
      <c r="V36">
        <f t="shared" si="27"/>
        <v>0</v>
      </c>
      <c r="W36">
        <f t="shared" si="28"/>
        <v>0</v>
      </c>
      <c r="X36">
        <f t="shared" si="29"/>
        <v>0</v>
      </c>
      <c r="Y36">
        <f t="shared" si="30"/>
        <v>0</v>
      </c>
      <c r="AA36">
        <v>34388368</v>
      </c>
      <c r="AB36">
        <f t="shared" si="31"/>
        <v>104.99</v>
      </c>
      <c r="AC36">
        <f t="shared" si="32"/>
        <v>104.99</v>
      </c>
      <c r="AD36">
        <f>ROUND((((ET36)-(EU36))+AE36),6)</f>
        <v>0</v>
      </c>
      <c r="AE36">
        <f>ROUND((EU36),6)</f>
        <v>0</v>
      </c>
      <c r="AF36">
        <f>ROUND((EV36),6)</f>
        <v>0</v>
      </c>
      <c r="AG36">
        <f t="shared" si="33"/>
        <v>0</v>
      </c>
      <c r="AH36">
        <f>(EW36)</f>
        <v>0</v>
      </c>
      <c r="AI36">
        <f>(EX36)</f>
        <v>0</v>
      </c>
      <c r="AJ36">
        <f t="shared" si="34"/>
        <v>0</v>
      </c>
      <c r="AK36">
        <v>104.99</v>
      </c>
      <c r="AL36">
        <v>104.99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1</v>
      </c>
      <c r="AW36">
        <v>1.081</v>
      </c>
      <c r="AZ36">
        <v>1</v>
      </c>
      <c r="BA36">
        <v>1</v>
      </c>
      <c r="BB36">
        <v>1</v>
      </c>
      <c r="BC36">
        <v>5.45</v>
      </c>
      <c r="BH36">
        <v>3</v>
      </c>
      <c r="BI36">
        <v>1</v>
      </c>
      <c r="BJ36" t="s">
        <v>43</v>
      </c>
      <c r="BM36">
        <v>141</v>
      </c>
      <c r="BN36">
        <v>0</v>
      </c>
      <c r="BO36" t="s">
        <v>40</v>
      </c>
      <c r="BP36">
        <v>1</v>
      </c>
      <c r="BQ36">
        <v>30</v>
      </c>
      <c r="BR36">
        <v>0</v>
      </c>
      <c r="BS36">
        <v>1</v>
      </c>
      <c r="BT36">
        <v>1</v>
      </c>
      <c r="BU36">
        <v>1</v>
      </c>
      <c r="BV36">
        <v>1</v>
      </c>
      <c r="BW36">
        <v>1</v>
      </c>
      <c r="BX36">
        <v>1</v>
      </c>
      <c r="BZ36">
        <v>0</v>
      </c>
      <c r="CA36">
        <v>0</v>
      </c>
      <c r="CF36">
        <v>0</v>
      </c>
      <c r="CG36">
        <v>0</v>
      </c>
      <c r="CM36">
        <v>0</v>
      </c>
      <c r="CO36">
        <v>0</v>
      </c>
      <c r="CP36">
        <f t="shared" si="35"/>
        <v>12791.48</v>
      </c>
      <c r="CQ36">
        <f t="shared" si="36"/>
        <v>618.5433355</v>
      </c>
      <c r="CR36">
        <f>((((ET36)*BB36-(EU36)*BS36)+AE36*BS36)*AV36)</f>
        <v>0</v>
      </c>
      <c r="CS36">
        <f t="shared" si="37"/>
        <v>0</v>
      </c>
      <c r="CT36">
        <f t="shared" si="38"/>
        <v>0</v>
      </c>
      <c r="CU36">
        <f t="shared" si="39"/>
        <v>0</v>
      </c>
      <c r="CV36">
        <f t="shared" si="40"/>
        <v>0</v>
      </c>
      <c r="CW36">
        <f t="shared" si="41"/>
        <v>0</v>
      </c>
      <c r="CX36">
        <f t="shared" si="42"/>
        <v>0</v>
      </c>
      <c r="CY36">
        <f t="shared" si="43"/>
        <v>0</v>
      </c>
      <c r="CZ36">
        <f t="shared" si="44"/>
        <v>0</v>
      </c>
      <c r="DN36">
        <v>133</v>
      </c>
      <c r="DO36">
        <v>113</v>
      </c>
      <c r="DP36">
        <v>1.067</v>
      </c>
      <c r="DQ36">
        <v>1.003</v>
      </c>
      <c r="DU36">
        <v>1007</v>
      </c>
      <c r="DV36" t="s">
        <v>42</v>
      </c>
      <c r="DW36" t="s">
        <v>42</v>
      </c>
      <c r="DX36">
        <v>1</v>
      </c>
      <c r="EE36">
        <v>34317556</v>
      </c>
      <c r="EF36">
        <v>30</v>
      </c>
      <c r="EG36" t="s">
        <v>28</v>
      </c>
      <c r="EH36">
        <v>0</v>
      </c>
      <c r="EJ36">
        <v>1</v>
      </c>
      <c r="EK36">
        <v>141</v>
      </c>
      <c r="EL36" t="s">
        <v>37</v>
      </c>
      <c r="EM36" t="s">
        <v>38</v>
      </c>
      <c r="EQ36">
        <v>0</v>
      </c>
      <c r="ER36">
        <v>104.99</v>
      </c>
      <c r="ES36">
        <v>104.99</v>
      </c>
      <c r="ET36">
        <v>0</v>
      </c>
      <c r="EU36">
        <v>0</v>
      </c>
      <c r="EV36">
        <v>0</v>
      </c>
      <c r="EW36">
        <v>0</v>
      </c>
      <c r="EX36">
        <v>0</v>
      </c>
      <c r="FQ36">
        <v>0</v>
      </c>
      <c r="FR36">
        <f t="shared" si="45"/>
        <v>0</v>
      </c>
      <c r="FS36">
        <v>0</v>
      </c>
      <c r="FX36">
        <v>133</v>
      </c>
      <c r="FY36">
        <v>113</v>
      </c>
      <c r="GD36">
        <v>0</v>
      </c>
      <c r="GF36">
        <v>-419971176</v>
      </c>
      <c r="GG36">
        <v>2</v>
      </c>
      <c r="GH36">
        <v>1</v>
      </c>
      <c r="GI36">
        <v>2</v>
      </c>
      <c r="GJ36">
        <v>0</v>
      </c>
      <c r="GK36">
        <f>ROUND(R36*(R12)/100,2)</f>
        <v>0</v>
      </c>
      <c r="GL36">
        <f t="shared" si="46"/>
        <v>0</v>
      </c>
      <c r="GM36">
        <f t="shared" si="47"/>
        <v>12791.48</v>
      </c>
      <c r="GN36">
        <f t="shared" si="48"/>
        <v>12791.48</v>
      </c>
      <c r="GO36">
        <f t="shared" si="49"/>
        <v>0</v>
      </c>
      <c r="GP36">
        <f t="shared" si="50"/>
        <v>0</v>
      </c>
      <c r="GT36">
        <v>0</v>
      </c>
      <c r="GU36">
        <v>1</v>
      </c>
      <c r="GV36">
        <v>0</v>
      </c>
      <c r="GW36">
        <v>0</v>
      </c>
      <c r="GX36">
        <f t="shared" si="51"/>
        <v>0</v>
      </c>
    </row>
    <row r="37" spans="1:206" ht="12.75">
      <c r="A37">
        <v>17</v>
      </c>
      <c r="B37">
        <v>1</v>
      </c>
      <c r="C37">
        <f>ROW(SmtRes!A8)</f>
        <v>8</v>
      </c>
      <c r="D37">
        <f>ROW(EtalonRes!A7)</f>
        <v>7</v>
      </c>
      <c r="E37" t="s">
        <v>54</v>
      </c>
      <c r="F37" t="s">
        <v>55</v>
      </c>
      <c r="G37" t="s">
        <v>56</v>
      </c>
      <c r="H37" t="s">
        <v>57</v>
      </c>
      <c r="I37">
        <v>0.628</v>
      </c>
      <c r="J37">
        <v>0</v>
      </c>
      <c r="O37">
        <f t="shared" si="20"/>
        <v>23532.24</v>
      </c>
      <c r="P37">
        <f t="shared" si="21"/>
        <v>157.57</v>
      </c>
      <c r="Q37">
        <f t="shared" si="22"/>
        <v>0</v>
      </c>
      <c r="R37">
        <f t="shared" si="23"/>
        <v>0</v>
      </c>
      <c r="S37">
        <f t="shared" si="24"/>
        <v>23374.67</v>
      </c>
      <c r="T37">
        <f t="shared" si="25"/>
        <v>0</v>
      </c>
      <c r="U37">
        <f t="shared" si="26"/>
        <v>102.48812419999999</v>
      </c>
      <c r="V37">
        <f t="shared" si="27"/>
        <v>0</v>
      </c>
      <c r="W37">
        <f t="shared" si="28"/>
        <v>0</v>
      </c>
      <c r="X37">
        <f t="shared" si="29"/>
        <v>21037.2</v>
      </c>
      <c r="Y37">
        <f t="shared" si="30"/>
        <v>9583.61</v>
      </c>
      <c r="AA37">
        <v>34388368</v>
      </c>
      <c r="AB37">
        <f t="shared" si="31"/>
        <v>1754.361</v>
      </c>
      <c r="AC37">
        <f t="shared" si="32"/>
        <v>44.38</v>
      </c>
      <c r="AD37">
        <f>ROUND(((((ET37*1.15))-((EU37*1.15)))+AE37),6)</f>
        <v>0</v>
      </c>
      <c r="AE37">
        <f>ROUND(((EU37*1.15)),6)</f>
        <v>0</v>
      </c>
      <c r="AF37">
        <f>ROUND(((EV37*1.15)),6)</f>
        <v>1709.981</v>
      </c>
      <c r="AG37">
        <f t="shared" si="33"/>
        <v>0</v>
      </c>
      <c r="AH37">
        <f>((EW37*1.15))</f>
        <v>152.95</v>
      </c>
      <c r="AI37">
        <f>((EX37*1.15))</f>
        <v>0</v>
      </c>
      <c r="AJ37">
        <f t="shared" si="34"/>
        <v>0</v>
      </c>
      <c r="AK37">
        <v>1531.32</v>
      </c>
      <c r="AL37">
        <v>44.38</v>
      </c>
      <c r="AM37">
        <v>0</v>
      </c>
      <c r="AN37">
        <v>0</v>
      </c>
      <c r="AO37">
        <v>1486.94</v>
      </c>
      <c r="AP37">
        <v>0</v>
      </c>
      <c r="AQ37">
        <v>133</v>
      </c>
      <c r="AR37">
        <v>0</v>
      </c>
      <c r="AS37">
        <v>0</v>
      </c>
      <c r="AT37">
        <v>90</v>
      </c>
      <c r="AU37">
        <v>41</v>
      </c>
      <c r="AV37">
        <v>1.067</v>
      </c>
      <c r="AW37">
        <v>1.081</v>
      </c>
      <c r="AZ37">
        <v>1</v>
      </c>
      <c r="BA37">
        <v>20.4</v>
      </c>
      <c r="BB37">
        <v>1</v>
      </c>
      <c r="BC37">
        <v>5.23</v>
      </c>
      <c r="BH37">
        <v>0</v>
      </c>
      <c r="BI37">
        <v>1</v>
      </c>
      <c r="BJ37" t="s">
        <v>58</v>
      </c>
      <c r="BM37">
        <v>242</v>
      </c>
      <c r="BN37">
        <v>0</v>
      </c>
      <c r="BO37" t="s">
        <v>55</v>
      </c>
      <c r="BP37">
        <v>1</v>
      </c>
      <c r="BQ37">
        <v>30</v>
      </c>
      <c r="BR37">
        <v>0</v>
      </c>
      <c r="BS37">
        <v>20.4</v>
      </c>
      <c r="BT37">
        <v>1</v>
      </c>
      <c r="BU37">
        <v>1</v>
      </c>
      <c r="BV37">
        <v>1</v>
      </c>
      <c r="BW37">
        <v>1</v>
      </c>
      <c r="BX37">
        <v>1</v>
      </c>
      <c r="BZ37">
        <v>90</v>
      </c>
      <c r="CA37">
        <v>41</v>
      </c>
      <c r="CF37">
        <v>0</v>
      </c>
      <c r="CG37">
        <v>0</v>
      </c>
      <c r="CM37">
        <v>0</v>
      </c>
      <c r="CN37" t="s">
        <v>26</v>
      </c>
      <c r="CO37">
        <v>0</v>
      </c>
      <c r="CP37">
        <f t="shared" si="35"/>
        <v>23532.239999999998</v>
      </c>
      <c r="CQ37">
        <f t="shared" si="36"/>
        <v>250.90809940000003</v>
      </c>
      <c r="CR37">
        <f>(((((ET37*1.15))*BB37-((EU37*1.15))*BS37)+AE37*BS37)*AV37)</f>
        <v>0</v>
      </c>
      <c r="CS37">
        <f t="shared" si="37"/>
        <v>0</v>
      </c>
      <c r="CT37">
        <f t="shared" si="38"/>
        <v>37220.8144308</v>
      </c>
      <c r="CU37">
        <f t="shared" si="39"/>
        <v>0</v>
      </c>
      <c r="CV37">
        <f t="shared" si="40"/>
        <v>163.19764999999998</v>
      </c>
      <c r="CW37">
        <f t="shared" si="41"/>
        <v>0</v>
      </c>
      <c r="CX37">
        <f t="shared" si="42"/>
        <v>0</v>
      </c>
      <c r="CY37">
        <f t="shared" si="43"/>
        <v>21037.202999999998</v>
      </c>
      <c r="CZ37">
        <f t="shared" si="44"/>
        <v>9583.614699999998</v>
      </c>
      <c r="DE37" t="s">
        <v>27</v>
      </c>
      <c r="DF37" t="s">
        <v>27</v>
      </c>
      <c r="DG37" t="s">
        <v>27</v>
      </c>
      <c r="DI37" t="s">
        <v>27</v>
      </c>
      <c r="DJ37" t="s">
        <v>27</v>
      </c>
      <c r="DN37">
        <v>112</v>
      </c>
      <c r="DO37">
        <v>70</v>
      </c>
      <c r="DP37">
        <v>1.067</v>
      </c>
      <c r="DQ37">
        <v>1.081</v>
      </c>
      <c r="DU37">
        <v>1003</v>
      </c>
      <c r="DV37" t="s">
        <v>57</v>
      </c>
      <c r="DW37" t="s">
        <v>57</v>
      </c>
      <c r="DX37">
        <v>1000</v>
      </c>
      <c r="EE37">
        <v>34317657</v>
      </c>
      <c r="EF37">
        <v>30</v>
      </c>
      <c r="EG37" t="s">
        <v>28</v>
      </c>
      <c r="EH37">
        <v>0</v>
      </c>
      <c r="EJ37">
        <v>1</v>
      </c>
      <c r="EK37">
        <v>242</v>
      </c>
      <c r="EL37" t="s">
        <v>59</v>
      </c>
      <c r="EM37" t="s">
        <v>60</v>
      </c>
      <c r="EO37" t="s">
        <v>31</v>
      </c>
      <c r="EQ37">
        <v>0</v>
      </c>
      <c r="ER37">
        <v>1531.32</v>
      </c>
      <c r="ES37">
        <v>44.38</v>
      </c>
      <c r="ET37">
        <v>0</v>
      </c>
      <c r="EU37">
        <v>0</v>
      </c>
      <c r="EV37">
        <v>1486.94</v>
      </c>
      <c r="EW37">
        <v>133</v>
      </c>
      <c r="EX37">
        <v>0</v>
      </c>
      <c r="EY37">
        <v>0</v>
      </c>
      <c r="FQ37">
        <v>0</v>
      </c>
      <c r="FR37">
        <f t="shared" si="45"/>
        <v>0</v>
      </c>
      <c r="FS37">
        <v>0</v>
      </c>
      <c r="FX37">
        <v>112</v>
      </c>
      <c r="FY37">
        <v>70</v>
      </c>
      <c r="GD37">
        <v>0</v>
      </c>
      <c r="GF37">
        <v>-256103847</v>
      </c>
      <c r="GG37">
        <v>2</v>
      </c>
      <c r="GH37">
        <v>1</v>
      </c>
      <c r="GI37">
        <v>2</v>
      </c>
      <c r="GJ37">
        <v>0</v>
      </c>
      <c r="GK37">
        <f>ROUND(R37*(R12)/100,2)</f>
        <v>0</v>
      </c>
      <c r="GL37">
        <f t="shared" si="46"/>
        <v>0</v>
      </c>
      <c r="GM37">
        <f t="shared" si="47"/>
        <v>54153.05</v>
      </c>
      <c r="GN37">
        <f t="shared" si="48"/>
        <v>54153.05</v>
      </c>
      <c r="GO37">
        <f t="shared" si="49"/>
        <v>0</v>
      </c>
      <c r="GP37">
        <f t="shared" si="50"/>
        <v>0</v>
      </c>
      <c r="GT37">
        <v>0</v>
      </c>
      <c r="GU37">
        <v>1</v>
      </c>
      <c r="GV37">
        <v>0</v>
      </c>
      <c r="GW37">
        <v>0</v>
      </c>
      <c r="GX37">
        <f t="shared" si="51"/>
        <v>0</v>
      </c>
    </row>
    <row r="38" spans="1:206" ht="12.75">
      <c r="A38">
        <v>18</v>
      </c>
      <c r="B38">
        <v>1</v>
      </c>
      <c r="C38">
        <v>8</v>
      </c>
      <c r="E38" t="s">
        <v>61</v>
      </c>
      <c r="F38" t="s">
        <v>62</v>
      </c>
      <c r="G38" t="s">
        <v>63</v>
      </c>
      <c r="H38" t="s">
        <v>57</v>
      </c>
      <c r="I38">
        <f>I37*J38</f>
        <v>0.628</v>
      </c>
      <c r="J38">
        <v>1</v>
      </c>
      <c r="O38">
        <f t="shared" si="20"/>
        <v>489015.08</v>
      </c>
      <c r="P38">
        <f t="shared" si="21"/>
        <v>489015.08</v>
      </c>
      <c r="Q38">
        <f t="shared" si="22"/>
        <v>0</v>
      </c>
      <c r="R38">
        <f t="shared" si="23"/>
        <v>0</v>
      </c>
      <c r="S38">
        <f t="shared" si="24"/>
        <v>0</v>
      </c>
      <c r="T38">
        <f t="shared" si="25"/>
        <v>0</v>
      </c>
      <c r="U38">
        <f t="shared" si="26"/>
        <v>0</v>
      </c>
      <c r="V38">
        <f t="shared" si="27"/>
        <v>0</v>
      </c>
      <c r="W38">
        <f t="shared" si="28"/>
        <v>0</v>
      </c>
      <c r="X38">
        <f t="shared" si="29"/>
        <v>0</v>
      </c>
      <c r="Y38">
        <f t="shared" si="30"/>
        <v>0</v>
      </c>
      <c r="AA38">
        <v>34388368</v>
      </c>
      <c r="AB38">
        <f t="shared" si="31"/>
        <v>720338.98</v>
      </c>
      <c r="AC38">
        <f t="shared" si="32"/>
        <v>720338.98</v>
      </c>
      <c r="AD38">
        <f>ROUND((((ET38)-(EU38))+AE38),6)</f>
        <v>0</v>
      </c>
      <c r="AE38">
        <f>ROUND((EU38),6)</f>
        <v>0</v>
      </c>
      <c r="AF38">
        <f>ROUND((EV38),6)</f>
        <v>0</v>
      </c>
      <c r="AG38">
        <f t="shared" si="33"/>
        <v>0</v>
      </c>
      <c r="AH38">
        <f>(EW38)</f>
        <v>0</v>
      </c>
      <c r="AI38">
        <f>(EX38)</f>
        <v>0</v>
      </c>
      <c r="AJ38">
        <f t="shared" si="34"/>
        <v>0</v>
      </c>
      <c r="AK38">
        <v>720338.98</v>
      </c>
      <c r="AL38">
        <v>720338.98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1</v>
      </c>
      <c r="AW38">
        <v>1.081</v>
      </c>
      <c r="AZ38">
        <v>1</v>
      </c>
      <c r="BA38">
        <v>1</v>
      </c>
      <c r="BB38">
        <v>1</v>
      </c>
      <c r="BC38">
        <v>1</v>
      </c>
      <c r="BH38">
        <v>3</v>
      </c>
      <c r="BI38">
        <v>1</v>
      </c>
      <c r="BM38">
        <v>242</v>
      </c>
      <c r="BN38">
        <v>0</v>
      </c>
      <c r="BP38">
        <v>0</v>
      </c>
      <c r="BQ38">
        <v>30</v>
      </c>
      <c r="BR38">
        <v>0</v>
      </c>
      <c r="BS38">
        <v>1</v>
      </c>
      <c r="BT38">
        <v>1</v>
      </c>
      <c r="BU38">
        <v>1</v>
      </c>
      <c r="BV38">
        <v>1</v>
      </c>
      <c r="BW38">
        <v>1</v>
      </c>
      <c r="BX38">
        <v>1</v>
      </c>
      <c r="BZ38">
        <v>0</v>
      </c>
      <c r="CA38">
        <v>0</v>
      </c>
      <c r="CF38">
        <v>0</v>
      </c>
      <c r="CG38">
        <v>0</v>
      </c>
      <c r="CM38">
        <v>0</v>
      </c>
      <c r="CO38">
        <v>0</v>
      </c>
      <c r="CP38">
        <f t="shared" si="35"/>
        <v>489015.08</v>
      </c>
      <c r="CQ38">
        <f t="shared" si="36"/>
        <v>778686.4373799999</v>
      </c>
      <c r="CR38">
        <f>((((ET38)*BB38-(EU38)*BS38)+AE38*BS38)*AV38)</f>
        <v>0</v>
      </c>
      <c r="CS38">
        <f t="shared" si="37"/>
        <v>0</v>
      </c>
      <c r="CT38">
        <f t="shared" si="38"/>
        <v>0</v>
      </c>
      <c r="CU38">
        <f t="shared" si="39"/>
        <v>0</v>
      </c>
      <c r="CV38">
        <f t="shared" si="40"/>
        <v>0</v>
      </c>
      <c r="CW38">
        <f t="shared" si="41"/>
        <v>0</v>
      </c>
      <c r="CX38">
        <f t="shared" si="42"/>
        <v>0</v>
      </c>
      <c r="CY38">
        <f t="shared" si="43"/>
        <v>0</v>
      </c>
      <c r="CZ38">
        <f t="shared" si="44"/>
        <v>0</v>
      </c>
      <c r="DN38">
        <v>112</v>
      </c>
      <c r="DO38">
        <v>70</v>
      </c>
      <c r="DP38">
        <v>1.067</v>
      </c>
      <c r="DQ38">
        <v>1.081</v>
      </c>
      <c r="DU38">
        <v>1003</v>
      </c>
      <c r="DV38" t="s">
        <v>57</v>
      </c>
      <c r="DW38" t="s">
        <v>57</v>
      </c>
      <c r="DX38">
        <v>1000</v>
      </c>
      <c r="EE38">
        <v>34317657</v>
      </c>
      <c r="EF38">
        <v>30</v>
      </c>
      <c r="EG38" t="s">
        <v>28</v>
      </c>
      <c r="EH38">
        <v>0</v>
      </c>
      <c r="EJ38">
        <v>1</v>
      </c>
      <c r="EK38">
        <v>242</v>
      </c>
      <c r="EL38" t="s">
        <v>59</v>
      </c>
      <c r="EM38" t="s">
        <v>60</v>
      </c>
      <c r="EQ38">
        <v>0</v>
      </c>
      <c r="ER38">
        <v>720338.98</v>
      </c>
      <c r="ES38">
        <v>720338.98</v>
      </c>
      <c r="ET38">
        <v>0</v>
      </c>
      <c r="EU38">
        <v>0</v>
      </c>
      <c r="EV38">
        <v>0</v>
      </c>
      <c r="EW38">
        <v>0</v>
      </c>
      <c r="EX38">
        <v>0</v>
      </c>
      <c r="EZ38">
        <v>5</v>
      </c>
      <c r="FC38">
        <v>1</v>
      </c>
      <c r="FD38">
        <v>18</v>
      </c>
      <c r="FF38">
        <v>850000</v>
      </c>
      <c r="FQ38">
        <v>0</v>
      </c>
      <c r="FR38">
        <f t="shared" si="45"/>
        <v>0</v>
      </c>
      <c r="FS38">
        <v>0</v>
      </c>
      <c r="FX38">
        <v>112</v>
      </c>
      <c r="FY38">
        <v>70</v>
      </c>
      <c r="GA38" t="s">
        <v>64</v>
      </c>
      <c r="GD38">
        <v>0</v>
      </c>
      <c r="GF38">
        <v>-1313991354</v>
      </c>
      <c r="GG38">
        <v>2</v>
      </c>
      <c r="GH38">
        <v>3</v>
      </c>
      <c r="GI38">
        <v>-2</v>
      </c>
      <c r="GJ38">
        <v>0</v>
      </c>
      <c r="GK38">
        <f>ROUND(R38*(R12)/100,2)</f>
        <v>0</v>
      </c>
      <c r="GL38">
        <f t="shared" si="46"/>
        <v>0</v>
      </c>
      <c r="GM38">
        <f t="shared" si="47"/>
        <v>489015.08</v>
      </c>
      <c r="GN38">
        <f t="shared" si="48"/>
        <v>489015.08</v>
      </c>
      <c r="GO38">
        <f t="shared" si="49"/>
        <v>0</v>
      </c>
      <c r="GP38">
        <f t="shared" si="50"/>
        <v>0</v>
      </c>
      <c r="GT38">
        <v>0</v>
      </c>
      <c r="GU38">
        <v>1</v>
      </c>
      <c r="GV38">
        <v>0</v>
      </c>
      <c r="GW38">
        <v>0</v>
      </c>
      <c r="GX38">
        <f t="shared" si="51"/>
        <v>0</v>
      </c>
    </row>
    <row r="39" spans="1:206" ht="12.75">
      <c r="A39">
        <v>17</v>
      </c>
      <c r="B39">
        <v>1</v>
      </c>
      <c r="C39">
        <f>ROW(SmtRes!A10)</f>
        <v>10</v>
      </c>
      <c r="D39">
        <f>ROW(EtalonRes!A8)</f>
        <v>8</v>
      </c>
      <c r="E39" t="s">
        <v>65</v>
      </c>
      <c r="F39" t="s">
        <v>66</v>
      </c>
      <c r="G39" t="s">
        <v>67</v>
      </c>
      <c r="H39" t="s">
        <v>24</v>
      </c>
      <c r="I39">
        <f>ROUND(41.36/100,9)</f>
        <v>0.4136</v>
      </c>
      <c r="J39">
        <v>0</v>
      </c>
      <c r="O39">
        <f t="shared" si="20"/>
        <v>12728.57</v>
      </c>
      <c r="P39">
        <f t="shared" si="21"/>
        <v>0</v>
      </c>
      <c r="Q39">
        <f t="shared" si="22"/>
        <v>0</v>
      </c>
      <c r="R39">
        <f t="shared" si="23"/>
        <v>0</v>
      </c>
      <c r="S39">
        <f t="shared" si="24"/>
        <v>12728.57</v>
      </c>
      <c r="T39">
        <f t="shared" si="25"/>
        <v>0</v>
      </c>
      <c r="U39">
        <f t="shared" si="26"/>
        <v>63.538806988800005</v>
      </c>
      <c r="V39">
        <f t="shared" si="27"/>
        <v>0</v>
      </c>
      <c r="W39">
        <f t="shared" si="28"/>
        <v>0</v>
      </c>
      <c r="X39">
        <f t="shared" si="29"/>
        <v>10819.28</v>
      </c>
      <c r="Y39">
        <f t="shared" si="30"/>
        <v>5218.71</v>
      </c>
      <c r="AA39">
        <v>34388368</v>
      </c>
      <c r="AB39">
        <f t="shared" si="31"/>
        <v>1208.7995</v>
      </c>
      <c r="AC39">
        <f t="shared" si="32"/>
        <v>0</v>
      </c>
      <c r="AD39">
        <f>ROUND(((((ET39*1.15))-((EU39*1.15)))+AE39),6)</f>
        <v>0</v>
      </c>
      <c r="AE39">
        <f>ROUND(((EU39*1.15)),6)</f>
        <v>0</v>
      </c>
      <c r="AF39">
        <f>ROUND(((EV39*1.15)),6)</f>
        <v>1208.7995</v>
      </c>
      <c r="AG39">
        <f t="shared" si="33"/>
        <v>0</v>
      </c>
      <c r="AH39">
        <f>((EW39*1.15))</f>
        <v>123.096</v>
      </c>
      <c r="AI39">
        <f>((EX39*1.15))</f>
        <v>0</v>
      </c>
      <c r="AJ39">
        <f t="shared" si="34"/>
        <v>0</v>
      </c>
      <c r="AK39">
        <v>1051.13</v>
      </c>
      <c r="AL39">
        <v>0</v>
      </c>
      <c r="AM39">
        <v>0</v>
      </c>
      <c r="AN39">
        <v>0</v>
      </c>
      <c r="AO39">
        <v>1051.13</v>
      </c>
      <c r="AP39">
        <v>0</v>
      </c>
      <c r="AQ39">
        <v>107.04</v>
      </c>
      <c r="AR39">
        <v>0</v>
      </c>
      <c r="AS39">
        <v>0</v>
      </c>
      <c r="AT39">
        <v>85</v>
      </c>
      <c r="AU39">
        <v>41</v>
      </c>
      <c r="AV39">
        <v>1.248</v>
      </c>
      <c r="AW39">
        <v>1</v>
      </c>
      <c r="AZ39">
        <v>1</v>
      </c>
      <c r="BA39">
        <v>20.4</v>
      </c>
      <c r="BB39">
        <v>1</v>
      </c>
      <c r="BC39">
        <v>1</v>
      </c>
      <c r="BH39">
        <v>0</v>
      </c>
      <c r="BI39">
        <v>1</v>
      </c>
      <c r="BJ39" t="s">
        <v>68</v>
      </c>
      <c r="BM39">
        <v>16</v>
      </c>
      <c r="BN39">
        <v>0</v>
      </c>
      <c r="BO39" t="s">
        <v>66</v>
      </c>
      <c r="BP39">
        <v>1</v>
      </c>
      <c r="BQ39">
        <v>30</v>
      </c>
      <c r="BR39">
        <v>0</v>
      </c>
      <c r="BS39">
        <v>20.4</v>
      </c>
      <c r="BT39">
        <v>1</v>
      </c>
      <c r="BU39">
        <v>1</v>
      </c>
      <c r="BV39">
        <v>1</v>
      </c>
      <c r="BW39">
        <v>1</v>
      </c>
      <c r="BX39">
        <v>1</v>
      </c>
      <c r="BZ39">
        <v>85</v>
      </c>
      <c r="CA39">
        <v>41</v>
      </c>
      <c r="CF39">
        <v>0</v>
      </c>
      <c r="CG39">
        <v>0</v>
      </c>
      <c r="CM39">
        <v>0</v>
      </c>
      <c r="CN39" t="s">
        <v>26</v>
      </c>
      <c r="CO39">
        <v>0</v>
      </c>
      <c r="CP39">
        <f t="shared" si="35"/>
        <v>12728.57</v>
      </c>
      <c r="CQ39">
        <f t="shared" si="36"/>
        <v>0</v>
      </c>
      <c r="CR39">
        <f>(((((ET39*1.15))*BB39-((EU39*1.15))*BS39)+AE39*BS39)*AV39)</f>
        <v>0</v>
      </c>
      <c r="CS39">
        <f t="shared" si="37"/>
        <v>0</v>
      </c>
      <c r="CT39">
        <f t="shared" si="38"/>
        <v>30775.0682304</v>
      </c>
      <c r="CU39">
        <f t="shared" si="39"/>
        <v>0</v>
      </c>
      <c r="CV39">
        <f t="shared" si="40"/>
        <v>153.623808</v>
      </c>
      <c r="CW39">
        <f t="shared" si="41"/>
        <v>0</v>
      </c>
      <c r="CX39">
        <f t="shared" si="42"/>
        <v>0</v>
      </c>
      <c r="CY39">
        <f t="shared" si="43"/>
        <v>10819.2845</v>
      </c>
      <c r="CZ39">
        <f t="shared" si="44"/>
        <v>5218.713699999999</v>
      </c>
      <c r="DE39" t="s">
        <v>27</v>
      </c>
      <c r="DF39" t="s">
        <v>27</v>
      </c>
      <c r="DG39" t="s">
        <v>27</v>
      </c>
      <c r="DI39" t="s">
        <v>27</v>
      </c>
      <c r="DJ39" t="s">
        <v>27</v>
      </c>
      <c r="DN39">
        <v>105</v>
      </c>
      <c r="DO39">
        <v>77</v>
      </c>
      <c r="DP39">
        <v>1.248</v>
      </c>
      <c r="DQ39">
        <v>1</v>
      </c>
      <c r="DU39">
        <v>1007</v>
      </c>
      <c r="DV39" t="s">
        <v>24</v>
      </c>
      <c r="DW39" t="s">
        <v>24</v>
      </c>
      <c r="DX39">
        <v>100</v>
      </c>
      <c r="EE39">
        <v>34317431</v>
      </c>
      <c r="EF39">
        <v>30</v>
      </c>
      <c r="EG39" t="s">
        <v>28</v>
      </c>
      <c r="EH39">
        <v>0</v>
      </c>
      <c r="EJ39">
        <v>1</v>
      </c>
      <c r="EK39">
        <v>16</v>
      </c>
      <c r="EL39" t="s">
        <v>29</v>
      </c>
      <c r="EM39" t="s">
        <v>30</v>
      </c>
      <c r="EO39" t="s">
        <v>31</v>
      </c>
      <c r="EQ39">
        <v>0</v>
      </c>
      <c r="ER39">
        <v>1051.13</v>
      </c>
      <c r="ES39">
        <v>0</v>
      </c>
      <c r="ET39">
        <v>0</v>
      </c>
      <c r="EU39">
        <v>0</v>
      </c>
      <c r="EV39">
        <v>1051.13</v>
      </c>
      <c r="EW39">
        <v>107.04</v>
      </c>
      <c r="EX39">
        <v>0</v>
      </c>
      <c r="EY39">
        <v>0</v>
      </c>
      <c r="FQ39">
        <v>0</v>
      </c>
      <c r="FR39">
        <f t="shared" si="45"/>
        <v>0</v>
      </c>
      <c r="FS39">
        <v>0</v>
      </c>
      <c r="FX39">
        <v>105</v>
      </c>
      <c r="FY39">
        <v>77</v>
      </c>
      <c r="GD39">
        <v>0</v>
      </c>
      <c r="GF39">
        <v>-1775522537</v>
      </c>
      <c r="GG39">
        <v>2</v>
      </c>
      <c r="GH39">
        <v>1</v>
      </c>
      <c r="GI39">
        <v>2</v>
      </c>
      <c r="GJ39">
        <v>0</v>
      </c>
      <c r="GK39">
        <f>ROUND(R39*(R12)/100,2)</f>
        <v>0</v>
      </c>
      <c r="GL39">
        <f t="shared" si="46"/>
        <v>0</v>
      </c>
      <c r="GM39">
        <f t="shared" si="47"/>
        <v>28766.559999999998</v>
      </c>
      <c r="GN39">
        <f t="shared" si="48"/>
        <v>28766.56</v>
      </c>
      <c r="GO39">
        <f t="shared" si="49"/>
        <v>0</v>
      </c>
      <c r="GP39">
        <f t="shared" si="50"/>
        <v>0</v>
      </c>
      <c r="GT39">
        <v>0</v>
      </c>
      <c r="GU39">
        <v>1</v>
      </c>
      <c r="GV39">
        <v>0</v>
      </c>
      <c r="GW39">
        <v>0</v>
      </c>
      <c r="GX39">
        <f t="shared" si="51"/>
        <v>0</v>
      </c>
    </row>
    <row r="40" spans="1:206" ht="12.75">
      <c r="A40">
        <v>18</v>
      </c>
      <c r="B40">
        <v>1</v>
      </c>
      <c r="C40">
        <v>10</v>
      </c>
      <c r="E40" t="s">
        <v>69</v>
      </c>
      <c r="F40" t="s">
        <v>40</v>
      </c>
      <c r="G40" t="s">
        <v>41</v>
      </c>
      <c r="H40" t="s">
        <v>42</v>
      </c>
      <c r="I40">
        <f>I39*J40</f>
        <v>41.36</v>
      </c>
      <c r="J40">
        <v>100</v>
      </c>
      <c r="O40">
        <f t="shared" si="20"/>
        <v>23666.01</v>
      </c>
      <c r="P40">
        <f t="shared" si="21"/>
        <v>23666.01</v>
      </c>
      <c r="Q40">
        <f t="shared" si="22"/>
        <v>0</v>
      </c>
      <c r="R40">
        <f t="shared" si="23"/>
        <v>0</v>
      </c>
      <c r="S40">
        <f t="shared" si="24"/>
        <v>0</v>
      </c>
      <c r="T40">
        <f t="shared" si="25"/>
        <v>0</v>
      </c>
      <c r="U40">
        <f t="shared" si="26"/>
        <v>0</v>
      </c>
      <c r="V40">
        <f t="shared" si="27"/>
        <v>0</v>
      </c>
      <c r="W40">
        <f t="shared" si="28"/>
        <v>0</v>
      </c>
      <c r="X40">
        <f t="shared" si="29"/>
        <v>0</v>
      </c>
      <c r="Y40">
        <f t="shared" si="30"/>
        <v>0</v>
      </c>
      <c r="AA40">
        <v>34388368</v>
      </c>
      <c r="AB40">
        <f t="shared" si="31"/>
        <v>104.99</v>
      </c>
      <c r="AC40">
        <f t="shared" si="32"/>
        <v>104.99</v>
      </c>
      <c r="AD40">
        <f>ROUND((((ET40)-(EU40))+AE40),6)</f>
        <v>0</v>
      </c>
      <c r="AE40">
        <f>ROUND((EU40),6)</f>
        <v>0</v>
      </c>
      <c r="AF40">
        <f>ROUND((EV40),6)</f>
        <v>0</v>
      </c>
      <c r="AG40">
        <f t="shared" si="33"/>
        <v>0</v>
      </c>
      <c r="AH40">
        <f>(EW40)</f>
        <v>0</v>
      </c>
      <c r="AI40">
        <f>(EX40)</f>
        <v>0</v>
      </c>
      <c r="AJ40">
        <f t="shared" si="34"/>
        <v>0</v>
      </c>
      <c r="AK40">
        <v>104.99</v>
      </c>
      <c r="AL40">
        <v>104.99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1</v>
      </c>
      <c r="AW40">
        <v>1</v>
      </c>
      <c r="AZ40">
        <v>1</v>
      </c>
      <c r="BA40">
        <v>1</v>
      </c>
      <c r="BB40">
        <v>1</v>
      </c>
      <c r="BC40">
        <v>5.45</v>
      </c>
      <c r="BH40">
        <v>3</v>
      </c>
      <c r="BI40">
        <v>1</v>
      </c>
      <c r="BJ40" t="s">
        <v>43</v>
      </c>
      <c r="BM40">
        <v>141</v>
      </c>
      <c r="BN40">
        <v>0</v>
      </c>
      <c r="BO40" t="s">
        <v>40</v>
      </c>
      <c r="BP40">
        <v>1</v>
      </c>
      <c r="BQ40">
        <v>30</v>
      </c>
      <c r="BR40">
        <v>0</v>
      </c>
      <c r="BS40">
        <v>1</v>
      </c>
      <c r="BT40">
        <v>1</v>
      </c>
      <c r="BU40">
        <v>1</v>
      </c>
      <c r="BV40">
        <v>1</v>
      </c>
      <c r="BW40">
        <v>1</v>
      </c>
      <c r="BX40">
        <v>1</v>
      </c>
      <c r="BZ40">
        <v>0</v>
      </c>
      <c r="CA40">
        <v>0</v>
      </c>
      <c r="CF40">
        <v>0</v>
      </c>
      <c r="CG40">
        <v>0</v>
      </c>
      <c r="CM40">
        <v>0</v>
      </c>
      <c r="CO40">
        <v>0</v>
      </c>
      <c r="CP40">
        <f t="shared" si="35"/>
        <v>23666.01</v>
      </c>
      <c r="CQ40">
        <f t="shared" si="36"/>
        <v>572.1955</v>
      </c>
      <c r="CR40">
        <f>((((ET40)*BB40-(EU40)*BS40)+AE40*BS40)*AV40)</f>
        <v>0</v>
      </c>
      <c r="CS40">
        <f t="shared" si="37"/>
        <v>0</v>
      </c>
      <c r="CT40">
        <f t="shared" si="38"/>
        <v>0</v>
      </c>
      <c r="CU40">
        <f t="shared" si="39"/>
        <v>0</v>
      </c>
      <c r="CV40">
        <f t="shared" si="40"/>
        <v>0</v>
      </c>
      <c r="CW40">
        <f t="shared" si="41"/>
        <v>0</v>
      </c>
      <c r="CX40">
        <f t="shared" si="42"/>
        <v>0</v>
      </c>
      <c r="CY40">
        <f t="shared" si="43"/>
        <v>0</v>
      </c>
      <c r="CZ40">
        <f t="shared" si="44"/>
        <v>0</v>
      </c>
      <c r="DN40">
        <v>133</v>
      </c>
      <c r="DO40">
        <v>113</v>
      </c>
      <c r="DP40">
        <v>1.067</v>
      </c>
      <c r="DQ40">
        <v>1.003</v>
      </c>
      <c r="DU40">
        <v>1007</v>
      </c>
      <c r="DV40" t="s">
        <v>42</v>
      </c>
      <c r="DW40" t="s">
        <v>42</v>
      </c>
      <c r="DX40">
        <v>1</v>
      </c>
      <c r="EE40">
        <v>34317556</v>
      </c>
      <c r="EF40">
        <v>30</v>
      </c>
      <c r="EG40" t="s">
        <v>28</v>
      </c>
      <c r="EH40">
        <v>0</v>
      </c>
      <c r="EJ40">
        <v>1</v>
      </c>
      <c r="EK40">
        <v>141</v>
      </c>
      <c r="EL40" t="s">
        <v>37</v>
      </c>
      <c r="EM40" t="s">
        <v>38</v>
      </c>
      <c r="EQ40">
        <v>0</v>
      </c>
      <c r="ER40">
        <v>104.99</v>
      </c>
      <c r="ES40">
        <v>104.99</v>
      </c>
      <c r="ET40">
        <v>0</v>
      </c>
      <c r="EU40">
        <v>0</v>
      </c>
      <c r="EV40">
        <v>0</v>
      </c>
      <c r="EW40">
        <v>0</v>
      </c>
      <c r="EX40">
        <v>0</v>
      </c>
      <c r="FQ40">
        <v>0</v>
      </c>
      <c r="FR40">
        <f t="shared" si="45"/>
        <v>0</v>
      </c>
      <c r="FS40">
        <v>0</v>
      </c>
      <c r="FX40">
        <v>133</v>
      </c>
      <c r="FY40">
        <v>113</v>
      </c>
      <c r="GD40">
        <v>0</v>
      </c>
      <c r="GF40">
        <v>-419971176</v>
      </c>
      <c r="GG40">
        <v>2</v>
      </c>
      <c r="GH40">
        <v>1</v>
      </c>
      <c r="GI40">
        <v>2</v>
      </c>
      <c r="GJ40">
        <v>0</v>
      </c>
      <c r="GK40">
        <f>ROUND(R40*(R12)/100,2)</f>
        <v>0</v>
      </c>
      <c r="GL40">
        <f t="shared" si="46"/>
        <v>0</v>
      </c>
      <c r="GM40">
        <f t="shared" si="47"/>
        <v>23666.01</v>
      </c>
      <c r="GN40">
        <f t="shared" si="48"/>
        <v>23666.01</v>
      </c>
      <c r="GO40">
        <f t="shared" si="49"/>
        <v>0</v>
      </c>
      <c r="GP40">
        <f t="shared" si="50"/>
        <v>0</v>
      </c>
      <c r="GT40">
        <v>0</v>
      </c>
      <c r="GU40">
        <v>1</v>
      </c>
      <c r="GV40">
        <v>0</v>
      </c>
      <c r="GW40">
        <v>0</v>
      </c>
      <c r="GX40">
        <f t="shared" si="51"/>
        <v>0</v>
      </c>
    </row>
    <row r="41" spans="1:206" ht="12.75">
      <c r="A41">
        <v>17</v>
      </c>
      <c r="B41">
        <v>1</v>
      </c>
      <c r="C41">
        <f>ROW(SmtRes!A12)</f>
        <v>12</v>
      </c>
      <c r="D41">
        <f>ROW(EtalonRes!A10)</f>
        <v>10</v>
      </c>
      <c r="E41" t="s">
        <v>70</v>
      </c>
      <c r="F41" t="s">
        <v>71</v>
      </c>
      <c r="G41" t="s">
        <v>72</v>
      </c>
      <c r="H41" t="s">
        <v>73</v>
      </c>
      <c r="I41">
        <v>7</v>
      </c>
      <c r="J41">
        <v>0</v>
      </c>
      <c r="O41">
        <f t="shared" si="20"/>
        <v>6079.74</v>
      </c>
      <c r="P41">
        <f t="shared" si="21"/>
        <v>0</v>
      </c>
      <c r="Q41">
        <f t="shared" si="22"/>
        <v>0</v>
      </c>
      <c r="R41">
        <f t="shared" si="23"/>
        <v>0</v>
      </c>
      <c r="S41">
        <f t="shared" si="24"/>
        <v>6079.74</v>
      </c>
      <c r="T41">
        <f t="shared" si="25"/>
        <v>0</v>
      </c>
      <c r="U41">
        <f t="shared" si="26"/>
        <v>25.622183999999997</v>
      </c>
      <c r="V41">
        <f t="shared" si="27"/>
        <v>0</v>
      </c>
      <c r="W41">
        <f t="shared" si="28"/>
        <v>0</v>
      </c>
      <c r="X41">
        <f t="shared" si="29"/>
        <v>5167.78</v>
      </c>
      <c r="Y41">
        <f t="shared" si="30"/>
        <v>2492.69</v>
      </c>
      <c r="AA41">
        <v>34388368</v>
      </c>
      <c r="AB41">
        <f t="shared" si="31"/>
        <v>40.664</v>
      </c>
      <c r="AC41">
        <f t="shared" si="32"/>
        <v>0</v>
      </c>
      <c r="AD41">
        <f>ROUND(((((ET41*1.15))-((EU41*1.15)))+AE41),6)</f>
        <v>0</v>
      </c>
      <c r="AE41">
        <f>ROUND(((EU41*1.15)),6)</f>
        <v>0</v>
      </c>
      <c r="AF41">
        <f>ROUND(((EV41*1.15)),6)</f>
        <v>40.664</v>
      </c>
      <c r="AG41">
        <f t="shared" si="33"/>
        <v>0</v>
      </c>
      <c r="AH41">
        <f>((EW41*1.15))</f>
        <v>3.4959999999999996</v>
      </c>
      <c r="AI41">
        <f>((EX41*1.15))</f>
        <v>0</v>
      </c>
      <c r="AJ41">
        <f t="shared" si="34"/>
        <v>0</v>
      </c>
      <c r="AK41">
        <v>35.36</v>
      </c>
      <c r="AL41">
        <v>0</v>
      </c>
      <c r="AM41">
        <v>0</v>
      </c>
      <c r="AN41">
        <v>0</v>
      </c>
      <c r="AO41">
        <v>35.36</v>
      </c>
      <c r="AP41">
        <v>0</v>
      </c>
      <c r="AQ41">
        <v>3.04</v>
      </c>
      <c r="AR41">
        <v>0</v>
      </c>
      <c r="AS41">
        <v>0</v>
      </c>
      <c r="AT41">
        <v>85</v>
      </c>
      <c r="AU41">
        <v>41</v>
      </c>
      <c r="AV41">
        <v>1.047</v>
      </c>
      <c r="AW41">
        <v>1</v>
      </c>
      <c r="AZ41">
        <v>1</v>
      </c>
      <c r="BA41">
        <v>20.4</v>
      </c>
      <c r="BB41">
        <v>1</v>
      </c>
      <c r="BC41">
        <v>1</v>
      </c>
      <c r="BH41">
        <v>0</v>
      </c>
      <c r="BI41">
        <v>1</v>
      </c>
      <c r="BJ41" t="s">
        <v>74</v>
      </c>
      <c r="BM41">
        <v>99</v>
      </c>
      <c r="BN41">
        <v>0</v>
      </c>
      <c r="BO41" t="s">
        <v>71</v>
      </c>
      <c r="BP41">
        <v>1</v>
      </c>
      <c r="BQ41">
        <v>30</v>
      </c>
      <c r="BR41">
        <v>0</v>
      </c>
      <c r="BS41">
        <v>20.4</v>
      </c>
      <c r="BT41">
        <v>1</v>
      </c>
      <c r="BU41">
        <v>1</v>
      </c>
      <c r="BV41">
        <v>1</v>
      </c>
      <c r="BW41">
        <v>1</v>
      </c>
      <c r="BX41">
        <v>1</v>
      </c>
      <c r="BZ41">
        <v>85</v>
      </c>
      <c r="CA41">
        <v>41</v>
      </c>
      <c r="CF41">
        <v>0</v>
      </c>
      <c r="CG41">
        <v>0</v>
      </c>
      <c r="CM41">
        <v>0</v>
      </c>
      <c r="CN41" t="s">
        <v>26</v>
      </c>
      <c r="CO41">
        <v>0</v>
      </c>
      <c r="CP41">
        <f t="shared" si="35"/>
        <v>6079.74</v>
      </c>
      <c r="CQ41">
        <f t="shared" si="36"/>
        <v>0</v>
      </c>
      <c r="CR41">
        <f>(((((ET41*1.15))*BB41-((EU41*1.15))*BS41)+AE41*BS41)*AV41)</f>
        <v>0</v>
      </c>
      <c r="CS41">
        <f t="shared" si="37"/>
        <v>0</v>
      </c>
      <c r="CT41">
        <f t="shared" si="38"/>
        <v>868.5342431999999</v>
      </c>
      <c r="CU41">
        <f t="shared" si="39"/>
        <v>0</v>
      </c>
      <c r="CV41">
        <f t="shared" si="40"/>
        <v>3.6603119999999993</v>
      </c>
      <c r="CW41">
        <f t="shared" si="41"/>
        <v>0</v>
      </c>
      <c r="CX41">
        <f t="shared" si="42"/>
        <v>0</v>
      </c>
      <c r="CY41">
        <f t="shared" si="43"/>
        <v>5167.7789999999995</v>
      </c>
      <c r="CZ41">
        <f t="shared" si="44"/>
        <v>2492.6933999999997</v>
      </c>
      <c r="DE41" t="s">
        <v>27</v>
      </c>
      <c r="DF41" t="s">
        <v>27</v>
      </c>
      <c r="DG41" t="s">
        <v>27</v>
      </c>
      <c r="DI41" t="s">
        <v>27</v>
      </c>
      <c r="DJ41" t="s">
        <v>27</v>
      </c>
      <c r="DN41">
        <v>105</v>
      </c>
      <c r="DO41">
        <v>77</v>
      </c>
      <c r="DP41">
        <v>1.047</v>
      </c>
      <c r="DQ41">
        <v>1</v>
      </c>
      <c r="DU41">
        <v>1005</v>
      </c>
      <c r="DV41" t="s">
        <v>73</v>
      </c>
      <c r="DW41" t="s">
        <v>73</v>
      </c>
      <c r="DX41">
        <v>1</v>
      </c>
      <c r="EE41">
        <v>34317514</v>
      </c>
      <c r="EF41">
        <v>30</v>
      </c>
      <c r="EG41" t="s">
        <v>28</v>
      </c>
      <c r="EH41">
        <v>0</v>
      </c>
      <c r="EJ41">
        <v>1</v>
      </c>
      <c r="EK41">
        <v>99</v>
      </c>
      <c r="EL41" t="s">
        <v>75</v>
      </c>
      <c r="EM41" t="s">
        <v>76</v>
      </c>
      <c r="EO41" t="s">
        <v>31</v>
      </c>
      <c r="EQ41">
        <v>0</v>
      </c>
      <c r="ER41">
        <v>35.36</v>
      </c>
      <c r="ES41">
        <v>0</v>
      </c>
      <c r="ET41">
        <v>0</v>
      </c>
      <c r="EU41">
        <v>0</v>
      </c>
      <c r="EV41">
        <v>35.36</v>
      </c>
      <c r="EW41">
        <v>3.04</v>
      </c>
      <c r="EX41">
        <v>0</v>
      </c>
      <c r="EY41">
        <v>0</v>
      </c>
      <c r="FQ41">
        <v>0</v>
      </c>
      <c r="FR41">
        <f t="shared" si="45"/>
        <v>0</v>
      </c>
      <c r="FS41">
        <v>0</v>
      </c>
      <c r="FX41">
        <v>105</v>
      </c>
      <c r="FY41">
        <v>77</v>
      </c>
      <c r="GD41">
        <v>0</v>
      </c>
      <c r="GF41">
        <v>584276576</v>
      </c>
      <c r="GG41">
        <v>2</v>
      </c>
      <c r="GH41">
        <v>1</v>
      </c>
      <c r="GI41">
        <v>2</v>
      </c>
      <c r="GJ41">
        <v>0</v>
      </c>
      <c r="GK41">
        <f>ROUND(R41*(R12)/100,2)</f>
        <v>0</v>
      </c>
      <c r="GL41">
        <f t="shared" si="46"/>
        <v>0</v>
      </c>
      <c r="GM41">
        <f t="shared" si="47"/>
        <v>13740.210000000001</v>
      </c>
      <c r="GN41">
        <f t="shared" si="48"/>
        <v>13740.21</v>
      </c>
      <c r="GO41">
        <f t="shared" si="49"/>
        <v>0</v>
      </c>
      <c r="GP41">
        <f t="shared" si="50"/>
        <v>0</v>
      </c>
      <c r="GT41">
        <v>0</v>
      </c>
      <c r="GU41">
        <v>1</v>
      </c>
      <c r="GV41">
        <v>0</v>
      </c>
      <c r="GW41">
        <v>0</v>
      </c>
      <c r="GX41">
        <f t="shared" si="51"/>
        <v>0</v>
      </c>
    </row>
    <row r="42" spans="1:206" ht="12.75">
      <c r="A42">
        <v>18</v>
      </c>
      <c r="B42">
        <v>1</v>
      </c>
      <c r="C42">
        <v>12</v>
      </c>
      <c r="E42" t="s">
        <v>77</v>
      </c>
      <c r="F42" t="s">
        <v>62</v>
      </c>
      <c r="G42" t="s">
        <v>78</v>
      </c>
      <c r="H42" t="s">
        <v>79</v>
      </c>
      <c r="I42">
        <f>I41*J42</f>
        <v>1</v>
      </c>
      <c r="J42">
        <v>0.14285714285714285</v>
      </c>
      <c r="O42">
        <f t="shared" si="20"/>
        <v>16779.66</v>
      </c>
      <c r="P42">
        <f t="shared" si="21"/>
        <v>16779.66</v>
      </c>
      <c r="Q42">
        <f t="shared" si="22"/>
        <v>0</v>
      </c>
      <c r="R42">
        <f t="shared" si="23"/>
        <v>0</v>
      </c>
      <c r="S42">
        <f t="shared" si="24"/>
        <v>0</v>
      </c>
      <c r="T42">
        <f t="shared" si="25"/>
        <v>0</v>
      </c>
      <c r="U42">
        <f t="shared" si="26"/>
        <v>0</v>
      </c>
      <c r="V42">
        <f t="shared" si="27"/>
        <v>0</v>
      </c>
      <c r="W42">
        <f t="shared" si="28"/>
        <v>0</v>
      </c>
      <c r="X42">
        <f t="shared" si="29"/>
        <v>0</v>
      </c>
      <c r="Y42">
        <f t="shared" si="30"/>
        <v>0</v>
      </c>
      <c r="AA42">
        <v>34388368</v>
      </c>
      <c r="AB42">
        <f t="shared" si="31"/>
        <v>16779.66</v>
      </c>
      <c r="AC42">
        <f t="shared" si="32"/>
        <v>16779.66</v>
      </c>
      <c r="AD42">
        <f>ROUND((((ET42)-(EU42))+AE42),6)</f>
        <v>0</v>
      </c>
      <c r="AE42">
        <f>ROUND((EU42),6)</f>
        <v>0</v>
      </c>
      <c r="AF42">
        <f>ROUND((EV42),6)</f>
        <v>0</v>
      </c>
      <c r="AG42">
        <f t="shared" si="33"/>
        <v>0</v>
      </c>
      <c r="AH42">
        <f>(EW42)</f>
        <v>0</v>
      </c>
      <c r="AI42">
        <f>(EX42)</f>
        <v>0</v>
      </c>
      <c r="AJ42">
        <f t="shared" si="34"/>
        <v>0</v>
      </c>
      <c r="AK42">
        <v>16779.66</v>
      </c>
      <c r="AL42">
        <v>16779.66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1</v>
      </c>
      <c r="AW42">
        <v>1</v>
      </c>
      <c r="AZ42">
        <v>1</v>
      </c>
      <c r="BA42">
        <v>1</v>
      </c>
      <c r="BB42">
        <v>1</v>
      </c>
      <c r="BC42">
        <v>1</v>
      </c>
      <c r="BH42">
        <v>3</v>
      </c>
      <c r="BI42">
        <v>1</v>
      </c>
      <c r="BM42">
        <v>99</v>
      </c>
      <c r="BN42">
        <v>0</v>
      </c>
      <c r="BP42">
        <v>0</v>
      </c>
      <c r="BQ42">
        <v>30</v>
      </c>
      <c r="BR42">
        <v>0</v>
      </c>
      <c r="BS42">
        <v>1</v>
      </c>
      <c r="BT42">
        <v>1</v>
      </c>
      <c r="BU42">
        <v>1</v>
      </c>
      <c r="BV42">
        <v>1</v>
      </c>
      <c r="BW42">
        <v>1</v>
      </c>
      <c r="BX42">
        <v>1</v>
      </c>
      <c r="BZ42">
        <v>0</v>
      </c>
      <c r="CA42">
        <v>0</v>
      </c>
      <c r="CF42">
        <v>0</v>
      </c>
      <c r="CG42">
        <v>0</v>
      </c>
      <c r="CM42">
        <v>0</v>
      </c>
      <c r="CO42">
        <v>0</v>
      </c>
      <c r="CP42">
        <f t="shared" si="35"/>
        <v>16779.66</v>
      </c>
      <c r="CQ42">
        <f t="shared" si="36"/>
        <v>16779.66</v>
      </c>
      <c r="CR42">
        <f>((((ET42)*BB42-(EU42)*BS42)+AE42*BS42)*AV42)</f>
        <v>0</v>
      </c>
      <c r="CS42">
        <f t="shared" si="37"/>
        <v>0</v>
      </c>
      <c r="CT42">
        <f t="shared" si="38"/>
        <v>0</v>
      </c>
      <c r="CU42">
        <f t="shared" si="39"/>
        <v>0</v>
      </c>
      <c r="CV42">
        <f t="shared" si="40"/>
        <v>0</v>
      </c>
      <c r="CW42">
        <f t="shared" si="41"/>
        <v>0</v>
      </c>
      <c r="CX42">
        <f t="shared" si="42"/>
        <v>0</v>
      </c>
      <c r="CY42">
        <f t="shared" si="43"/>
        <v>0</v>
      </c>
      <c r="CZ42">
        <f t="shared" si="44"/>
        <v>0</v>
      </c>
      <c r="DN42">
        <v>105</v>
      </c>
      <c r="DO42">
        <v>77</v>
      </c>
      <c r="DP42">
        <v>1.047</v>
      </c>
      <c r="DQ42">
        <v>1</v>
      </c>
      <c r="DU42">
        <v>1013</v>
      </c>
      <c r="DV42" t="s">
        <v>79</v>
      </c>
      <c r="DW42" t="s">
        <v>79</v>
      </c>
      <c r="DX42">
        <v>1</v>
      </c>
      <c r="EE42">
        <v>34317514</v>
      </c>
      <c r="EF42">
        <v>30</v>
      </c>
      <c r="EG42" t="s">
        <v>28</v>
      </c>
      <c r="EH42">
        <v>0</v>
      </c>
      <c r="EJ42">
        <v>1</v>
      </c>
      <c r="EK42">
        <v>99</v>
      </c>
      <c r="EL42" t="s">
        <v>75</v>
      </c>
      <c r="EM42" t="s">
        <v>76</v>
      </c>
      <c r="EQ42">
        <v>0</v>
      </c>
      <c r="ER42">
        <v>16779.66</v>
      </c>
      <c r="ES42">
        <v>16779.66</v>
      </c>
      <c r="ET42">
        <v>0</v>
      </c>
      <c r="EU42">
        <v>0</v>
      </c>
      <c r="EV42">
        <v>0</v>
      </c>
      <c r="EW42">
        <v>0</v>
      </c>
      <c r="EX42">
        <v>0</v>
      </c>
      <c r="EZ42">
        <v>5</v>
      </c>
      <c r="FC42">
        <v>1</v>
      </c>
      <c r="FD42">
        <v>18</v>
      </c>
      <c r="FF42">
        <v>19800</v>
      </c>
      <c r="FQ42">
        <v>0</v>
      </c>
      <c r="FR42">
        <f t="shared" si="45"/>
        <v>0</v>
      </c>
      <c r="FS42">
        <v>0</v>
      </c>
      <c r="FX42">
        <v>105</v>
      </c>
      <c r="FY42">
        <v>77</v>
      </c>
      <c r="GA42" t="s">
        <v>80</v>
      </c>
      <c r="GD42">
        <v>0</v>
      </c>
      <c r="GF42">
        <v>-1295970141</v>
      </c>
      <c r="GG42">
        <v>2</v>
      </c>
      <c r="GH42">
        <v>3</v>
      </c>
      <c r="GI42">
        <v>-2</v>
      </c>
      <c r="GJ42">
        <v>0</v>
      </c>
      <c r="GK42">
        <f>ROUND(R42*(R12)/100,2)</f>
        <v>0</v>
      </c>
      <c r="GL42">
        <f t="shared" si="46"/>
        <v>0</v>
      </c>
      <c r="GM42">
        <f t="shared" si="47"/>
        <v>16779.66</v>
      </c>
      <c r="GN42">
        <f t="shared" si="48"/>
        <v>16779.66</v>
      </c>
      <c r="GO42">
        <f t="shared" si="49"/>
        <v>0</v>
      </c>
      <c r="GP42">
        <f t="shared" si="50"/>
        <v>0</v>
      </c>
      <c r="GT42">
        <v>0</v>
      </c>
      <c r="GU42">
        <v>1</v>
      </c>
      <c r="GV42">
        <v>0</v>
      </c>
      <c r="GW42">
        <v>0</v>
      </c>
      <c r="GX42">
        <f t="shared" si="51"/>
        <v>0</v>
      </c>
    </row>
    <row r="43" spans="1:206" ht="12.75">
      <c r="A43">
        <v>17</v>
      </c>
      <c r="B43">
        <v>1</v>
      </c>
      <c r="C43">
        <f>ROW(SmtRes!A13)</f>
        <v>13</v>
      </c>
      <c r="D43">
        <f>ROW(EtalonRes!A11)</f>
        <v>11</v>
      </c>
      <c r="E43" t="s">
        <v>81</v>
      </c>
      <c r="F43" t="s">
        <v>66</v>
      </c>
      <c r="G43" t="s">
        <v>82</v>
      </c>
      <c r="H43" t="s">
        <v>24</v>
      </c>
      <c r="I43">
        <f>ROUND(298.35/100,9)</f>
        <v>2.9835</v>
      </c>
      <c r="J43">
        <v>0</v>
      </c>
      <c r="O43">
        <f t="shared" si="20"/>
        <v>91817.42</v>
      </c>
      <c r="P43">
        <f t="shared" si="21"/>
        <v>0</v>
      </c>
      <c r="Q43">
        <f t="shared" si="22"/>
        <v>0</v>
      </c>
      <c r="R43">
        <f t="shared" si="23"/>
        <v>0</v>
      </c>
      <c r="S43">
        <f t="shared" si="24"/>
        <v>91817.42</v>
      </c>
      <c r="T43">
        <f t="shared" si="25"/>
        <v>0</v>
      </c>
      <c r="U43">
        <f t="shared" si="26"/>
        <v>458.33663116799994</v>
      </c>
      <c r="V43">
        <f t="shared" si="27"/>
        <v>0</v>
      </c>
      <c r="W43">
        <f t="shared" si="28"/>
        <v>0</v>
      </c>
      <c r="X43">
        <f t="shared" si="29"/>
        <v>78044.81</v>
      </c>
      <c r="Y43">
        <f t="shared" si="30"/>
        <v>37645.14</v>
      </c>
      <c r="AA43">
        <v>34388368</v>
      </c>
      <c r="AB43">
        <f t="shared" si="31"/>
        <v>1208.7995</v>
      </c>
      <c r="AC43">
        <f t="shared" si="32"/>
        <v>0</v>
      </c>
      <c r="AD43">
        <f>ROUND(((((ET43*1.15))-((EU43*1.15)))+AE43),6)</f>
        <v>0</v>
      </c>
      <c r="AE43">
        <f>ROUND(((EU43*1.15)),6)</f>
        <v>0</v>
      </c>
      <c r="AF43">
        <f>ROUND(((EV43*1.15)),6)</f>
        <v>1208.7995</v>
      </c>
      <c r="AG43">
        <f t="shared" si="33"/>
        <v>0</v>
      </c>
      <c r="AH43">
        <f>((EW43*1.15))</f>
        <v>123.096</v>
      </c>
      <c r="AI43">
        <f>((EX43*1.15))</f>
        <v>0</v>
      </c>
      <c r="AJ43">
        <f t="shared" si="34"/>
        <v>0</v>
      </c>
      <c r="AK43">
        <v>1051.13</v>
      </c>
      <c r="AL43">
        <v>0</v>
      </c>
      <c r="AM43">
        <v>0</v>
      </c>
      <c r="AN43">
        <v>0</v>
      </c>
      <c r="AO43">
        <v>1051.13</v>
      </c>
      <c r="AP43">
        <v>0</v>
      </c>
      <c r="AQ43">
        <v>107.04</v>
      </c>
      <c r="AR43">
        <v>0</v>
      </c>
      <c r="AS43">
        <v>0</v>
      </c>
      <c r="AT43">
        <v>85</v>
      </c>
      <c r="AU43">
        <v>41</v>
      </c>
      <c r="AV43">
        <v>1.248</v>
      </c>
      <c r="AW43">
        <v>1</v>
      </c>
      <c r="AZ43">
        <v>1</v>
      </c>
      <c r="BA43">
        <v>20.4</v>
      </c>
      <c r="BB43">
        <v>1</v>
      </c>
      <c r="BC43">
        <v>1</v>
      </c>
      <c r="BH43">
        <v>0</v>
      </c>
      <c r="BI43">
        <v>1</v>
      </c>
      <c r="BJ43" t="s">
        <v>68</v>
      </c>
      <c r="BM43">
        <v>16</v>
      </c>
      <c r="BN43">
        <v>0</v>
      </c>
      <c r="BO43" t="s">
        <v>66</v>
      </c>
      <c r="BP43">
        <v>1</v>
      </c>
      <c r="BQ43">
        <v>30</v>
      </c>
      <c r="BR43">
        <v>0</v>
      </c>
      <c r="BS43">
        <v>20.4</v>
      </c>
      <c r="BT43">
        <v>1</v>
      </c>
      <c r="BU43">
        <v>1</v>
      </c>
      <c r="BV43">
        <v>1</v>
      </c>
      <c r="BW43">
        <v>1</v>
      </c>
      <c r="BX43">
        <v>1</v>
      </c>
      <c r="BZ43">
        <v>85</v>
      </c>
      <c r="CA43">
        <v>41</v>
      </c>
      <c r="CF43">
        <v>0</v>
      </c>
      <c r="CG43">
        <v>0</v>
      </c>
      <c r="CM43">
        <v>0</v>
      </c>
      <c r="CN43" t="s">
        <v>26</v>
      </c>
      <c r="CO43">
        <v>0</v>
      </c>
      <c r="CP43">
        <f t="shared" si="35"/>
        <v>91817.42</v>
      </c>
      <c r="CQ43">
        <f t="shared" si="36"/>
        <v>0</v>
      </c>
      <c r="CR43">
        <f>(((((ET43*1.15))*BB43-((EU43*1.15))*BS43)+AE43*BS43)*AV43)</f>
        <v>0</v>
      </c>
      <c r="CS43">
        <f t="shared" si="37"/>
        <v>0</v>
      </c>
      <c r="CT43">
        <f t="shared" si="38"/>
        <v>30775.0682304</v>
      </c>
      <c r="CU43">
        <f t="shared" si="39"/>
        <v>0</v>
      </c>
      <c r="CV43">
        <f t="shared" si="40"/>
        <v>153.623808</v>
      </c>
      <c r="CW43">
        <f t="shared" si="41"/>
        <v>0</v>
      </c>
      <c r="CX43">
        <f t="shared" si="42"/>
        <v>0</v>
      </c>
      <c r="CY43">
        <f t="shared" si="43"/>
        <v>78044.807</v>
      </c>
      <c r="CZ43">
        <f t="shared" si="44"/>
        <v>37645.142199999995</v>
      </c>
      <c r="DE43" t="s">
        <v>27</v>
      </c>
      <c r="DF43" t="s">
        <v>27</v>
      </c>
      <c r="DG43" t="s">
        <v>27</v>
      </c>
      <c r="DI43" t="s">
        <v>27</v>
      </c>
      <c r="DJ43" t="s">
        <v>27</v>
      </c>
      <c r="DN43">
        <v>105</v>
      </c>
      <c r="DO43">
        <v>77</v>
      </c>
      <c r="DP43">
        <v>1.248</v>
      </c>
      <c r="DQ43">
        <v>1</v>
      </c>
      <c r="DU43">
        <v>1007</v>
      </c>
      <c r="DV43" t="s">
        <v>24</v>
      </c>
      <c r="DW43" t="s">
        <v>24</v>
      </c>
      <c r="DX43">
        <v>100</v>
      </c>
      <c r="EE43">
        <v>34317431</v>
      </c>
      <c r="EF43">
        <v>30</v>
      </c>
      <c r="EG43" t="s">
        <v>28</v>
      </c>
      <c r="EH43">
        <v>0</v>
      </c>
      <c r="EJ43">
        <v>1</v>
      </c>
      <c r="EK43">
        <v>16</v>
      </c>
      <c r="EL43" t="s">
        <v>29</v>
      </c>
      <c r="EM43" t="s">
        <v>30</v>
      </c>
      <c r="EO43" t="s">
        <v>31</v>
      </c>
      <c r="EQ43">
        <v>0</v>
      </c>
      <c r="ER43">
        <v>1051.13</v>
      </c>
      <c r="ES43">
        <v>0</v>
      </c>
      <c r="ET43">
        <v>0</v>
      </c>
      <c r="EU43">
        <v>0</v>
      </c>
      <c r="EV43">
        <v>1051.13</v>
      </c>
      <c r="EW43">
        <v>107.04</v>
      </c>
      <c r="EX43">
        <v>0</v>
      </c>
      <c r="EY43">
        <v>0</v>
      </c>
      <c r="FQ43">
        <v>0</v>
      </c>
      <c r="FR43">
        <f t="shared" si="45"/>
        <v>0</v>
      </c>
      <c r="FS43">
        <v>0</v>
      </c>
      <c r="FX43">
        <v>105</v>
      </c>
      <c r="FY43">
        <v>77</v>
      </c>
      <c r="GD43">
        <v>0</v>
      </c>
      <c r="GF43">
        <v>-1627700894</v>
      </c>
      <c r="GG43">
        <v>2</v>
      </c>
      <c r="GH43">
        <v>1</v>
      </c>
      <c r="GI43">
        <v>2</v>
      </c>
      <c r="GJ43">
        <v>0</v>
      </c>
      <c r="GK43">
        <f>ROUND(R43*(R12)/100,2)</f>
        <v>0</v>
      </c>
      <c r="GL43">
        <f t="shared" si="46"/>
        <v>0</v>
      </c>
      <c r="GM43">
        <f t="shared" si="47"/>
        <v>207507.37</v>
      </c>
      <c r="GN43">
        <f t="shared" si="48"/>
        <v>207507.37</v>
      </c>
      <c r="GO43">
        <f t="shared" si="49"/>
        <v>0</v>
      </c>
      <c r="GP43">
        <f t="shared" si="50"/>
        <v>0</v>
      </c>
      <c r="GT43">
        <v>0</v>
      </c>
      <c r="GU43">
        <v>1</v>
      </c>
      <c r="GV43">
        <v>0</v>
      </c>
      <c r="GW43">
        <v>0</v>
      </c>
      <c r="GX43">
        <f t="shared" si="51"/>
        <v>0</v>
      </c>
    </row>
    <row r="44" spans="1:206" ht="12.75">
      <c r="A44">
        <v>17</v>
      </c>
      <c r="B44">
        <v>1</v>
      </c>
      <c r="C44">
        <f>ROW(SmtRes!A14)</f>
        <v>14</v>
      </c>
      <c r="D44">
        <f>ROW(EtalonRes!A12)</f>
        <v>12</v>
      </c>
      <c r="E44" t="s">
        <v>83</v>
      </c>
      <c r="F44" t="s">
        <v>84</v>
      </c>
      <c r="G44" t="s">
        <v>85</v>
      </c>
      <c r="H44" t="s">
        <v>24</v>
      </c>
      <c r="I44">
        <f>ROUND(80.88/100,9)</f>
        <v>0.8088</v>
      </c>
      <c r="J44">
        <v>0</v>
      </c>
      <c r="O44">
        <f t="shared" si="20"/>
        <v>16373.05</v>
      </c>
      <c r="P44">
        <f t="shared" si="21"/>
        <v>0</v>
      </c>
      <c r="Q44">
        <f t="shared" si="22"/>
        <v>0</v>
      </c>
      <c r="R44">
        <f t="shared" si="23"/>
        <v>0</v>
      </c>
      <c r="S44">
        <f t="shared" si="24"/>
        <v>16373.05</v>
      </c>
      <c r="T44">
        <f t="shared" si="25"/>
        <v>0</v>
      </c>
      <c r="U44">
        <f t="shared" si="26"/>
        <v>83.7787392</v>
      </c>
      <c r="V44">
        <f t="shared" si="27"/>
        <v>0</v>
      </c>
      <c r="W44">
        <f t="shared" si="28"/>
        <v>0</v>
      </c>
      <c r="X44">
        <f t="shared" si="29"/>
        <v>11952.33</v>
      </c>
      <c r="Y44">
        <f t="shared" si="30"/>
        <v>6712.95</v>
      </c>
      <c r="AA44">
        <v>34388368</v>
      </c>
      <c r="AB44">
        <f t="shared" si="31"/>
        <v>795.14</v>
      </c>
      <c r="AC44">
        <f t="shared" si="32"/>
        <v>0</v>
      </c>
      <c r="AD44">
        <f>ROUND((((ET44)-(EU44))+AE44),6)</f>
        <v>0</v>
      </c>
      <c r="AE44">
        <f>ROUND((EU44),6)</f>
        <v>0</v>
      </c>
      <c r="AF44">
        <f>ROUND((EV44),6)</f>
        <v>795.14</v>
      </c>
      <c r="AG44">
        <f t="shared" si="33"/>
        <v>0</v>
      </c>
      <c r="AH44">
        <f>(EW44)</f>
        <v>83</v>
      </c>
      <c r="AI44">
        <f>(EX44)</f>
        <v>0</v>
      </c>
      <c r="AJ44">
        <f t="shared" si="34"/>
        <v>0</v>
      </c>
      <c r="AK44">
        <v>795.14</v>
      </c>
      <c r="AL44">
        <v>0</v>
      </c>
      <c r="AM44">
        <v>0</v>
      </c>
      <c r="AN44">
        <v>0</v>
      </c>
      <c r="AO44">
        <v>795.14</v>
      </c>
      <c r="AP44">
        <v>0</v>
      </c>
      <c r="AQ44">
        <v>83</v>
      </c>
      <c r="AR44">
        <v>0</v>
      </c>
      <c r="AS44">
        <v>0</v>
      </c>
      <c r="AT44">
        <v>73</v>
      </c>
      <c r="AU44">
        <v>41</v>
      </c>
      <c r="AV44">
        <v>1.248</v>
      </c>
      <c r="AW44">
        <v>1</v>
      </c>
      <c r="AZ44">
        <v>1</v>
      </c>
      <c r="BA44">
        <v>20.4</v>
      </c>
      <c r="BB44">
        <v>1</v>
      </c>
      <c r="BC44">
        <v>1</v>
      </c>
      <c r="BH44">
        <v>0</v>
      </c>
      <c r="BI44">
        <v>1</v>
      </c>
      <c r="BJ44" t="s">
        <v>86</v>
      </c>
      <c r="BM44">
        <v>393</v>
      </c>
      <c r="BN44">
        <v>0</v>
      </c>
      <c r="BO44" t="s">
        <v>84</v>
      </c>
      <c r="BP44">
        <v>1</v>
      </c>
      <c r="BQ44">
        <v>60</v>
      </c>
      <c r="BR44">
        <v>0</v>
      </c>
      <c r="BS44">
        <v>20.4</v>
      </c>
      <c r="BT44">
        <v>1</v>
      </c>
      <c r="BU44">
        <v>1</v>
      </c>
      <c r="BV44">
        <v>1</v>
      </c>
      <c r="BW44">
        <v>1</v>
      </c>
      <c r="BX44">
        <v>1</v>
      </c>
      <c r="BZ44">
        <v>73</v>
      </c>
      <c r="CA44">
        <v>41</v>
      </c>
      <c r="CF44">
        <v>0</v>
      </c>
      <c r="CG44">
        <v>0</v>
      </c>
      <c r="CM44">
        <v>0</v>
      </c>
      <c r="CO44">
        <v>0</v>
      </c>
      <c r="CP44">
        <f t="shared" si="35"/>
        <v>16373.05</v>
      </c>
      <c r="CQ44">
        <f t="shared" si="36"/>
        <v>0</v>
      </c>
      <c r="CR44">
        <f>((((ET44)*BB44-(EU44)*BS44)+AE44*BS44)*AV44)</f>
        <v>0</v>
      </c>
      <c r="CS44">
        <f t="shared" si="37"/>
        <v>0</v>
      </c>
      <c r="CT44">
        <f t="shared" si="38"/>
        <v>20243.628287999996</v>
      </c>
      <c r="CU44">
        <f t="shared" si="39"/>
        <v>0</v>
      </c>
      <c r="CV44">
        <f t="shared" si="40"/>
        <v>103.584</v>
      </c>
      <c r="CW44">
        <f t="shared" si="41"/>
        <v>0</v>
      </c>
      <c r="CX44">
        <f t="shared" si="42"/>
        <v>0</v>
      </c>
      <c r="CY44">
        <f t="shared" si="43"/>
        <v>11952.3265</v>
      </c>
      <c r="CZ44">
        <f t="shared" si="44"/>
        <v>6712.950499999999</v>
      </c>
      <c r="DN44">
        <v>91</v>
      </c>
      <c r="DO44">
        <v>67</v>
      </c>
      <c r="DP44">
        <v>1.248</v>
      </c>
      <c r="DQ44">
        <v>1</v>
      </c>
      <c r="DU44">
        <v>1007</v>
      </c>
      <c r="DV44" t="s">
        <v>24</v>
      </c>
      <c r="DW44" t="s">
        <v>24</v>
      </c>
      <c r="DX44">
        <v>100</v>
      </c>
      <c r="EE44">
        <v>34317808</v>
      </c>
      <c r="EF44">
        <v>60</v>
      </c>
      <c r="EG44" t="s">
        <v>87</v>
      </c>
      <c r="EH44">
        <v>0</v>
      </c>
      <c r="EJ44">
        <v>1</v>
      </c>
      <c r="EK44">
        <v>393</v>
      </c>
      <c r="EL44" t="s">
        <v>88</v>
      </c>
      <c r="EM44" t="s">
        <v>89</v>
      </c>
      <c r="EQ44">
        <v>0</v>
      </c>
      <c r="ER44">
        <v>795.14</v>
      </c>
      <c r="ES44">
        <v>0</v>
      </c>
      <c r="ET44">
        <v>0</v>
      </c>
      <c r="EU44">
        <v>0</v>
      </c>
      <c r="EV44">
        <v>795.14</v>
      </c>
      <c r="EW44">
        <v>83</v>
      </c>
      <c r="EX44">
        <v>0</v>
      </c>
      <c r="EY44">
        <v>0</v>
      </c>
      <c r="FQ44">
        <v>0</v>
      </c>
      <c r="FR44">
        <f t="shared" si="45"/>
        <v>0</v>
      </c>
      <c r="FS44">
        <v>0</v>
      </c>
      <c r="FX44">
        <v>91</v>
      </c>
      <c r="FY44">
        <v>67</v>
      </c>
      <c r="GD44">
        <v>0</v>
      </c>
      <c r="GF44">
        <v>-1374314601</v>
      </c>
      <c r="GG44">
        <v>2</v>
      </c>
      <c r="GH44">
        <v>1</v>
      </c>
      <c r="GI44">
        <v>2</v>
      </c>
      <c r="GJ44">
        <v>0</v>
      </c>
      <c r="GK44">
        <f>ROUND(R44*(R12)/100,2)</f>
        <v>0</v>
      </c>
      <c r="GL44">
        <f t="shared" si="46"/>
        <v>0</v>
      </c>
      <c r="GM44">
        <f t="shared" si="47"/>
        <v>35038.329999999994</v>
      </c>
      <c r="GN44">
        <f t="shared" si="48"/>
        <v>35038.33</v>
      </c>
      <c r="GO44">
        <f t="shared" si="49"/>
        <v>0</v>
      </c>
      <c r="GP44">
        <f t="shared" si="50"/>
        <v>0</v>
      </c>
      <c r="GT44">
        <v>0</v>
      </c>
      <c r="GU44">
        <v>1</v>
      </c>
      <c r="GV44">
        <v>0</v>
      </c>
      <c r="GW44">
        <v>0</v>
      </c>
      <c r="GX44">
        <f t="shared" si="51"/>
        <v>0</v>
      </c>
    </row>
    <row r="45" spans="1:206" ht="12.75">
      <c r="A45">
        <v>17</v>
      </c>
      <c r="B45">
        <v>1</v>
      </c>
      <c r="E45" t="s">
        <v>90</v>
      </c>
      <c r="F45" t="s">
        <v>91</v>
      </c>
      <c r="G45" t="s">
        <v>92</v>
      </c>
      <c r="H45" t="s">
        <v>42</v>
      </c>
      <c r="I45">
        <v>80.88</v>
      </c>
      <c r="J45">
        <v>0</v>
      </c>
      <c r="O45">
        <f t="shared" si="20"/>
        <v>46162.83</v>
      </c>
      <c r="P45">
        <f t="shared" si="21"/>
        <v>0</v>
      </c>
      <c r="Q45">
        <f t="shared" si="22"/>
        <v>46162.83</v>
      </c>
      <c r="R45">
        <f t="shared" si="23"/>
        <v>0</v>
      </c>
      <c r="S45">
        <f t="shared" si="24"/>
        <v>0</v>
      </c>
      <c r="T45">
        <f t="shared" si="25"/>
        <v>0</v>
      </c>
      <c r="U45">
        <f t="shared" si="26"/>
        <v>0</v>
      </c>
      <c r="V45">
        <f t="shared" si="27"/>
        <v>0</v>
      </c>
      <c r="W45">
        <f t="shared" si="28"/>
        <v>0</v>
      </c>
      <c r="X45">
        <f t="shared" si="29"/>
        <v>0</v>
      </c>
      <c r="Y45">
        <f t="shared" si="30"/>
        <v>0</v>
      </c>
      <c r="AA45">
        <v>34388368</v>
      </c>
      <c r="AB45">
        <f t="shared" si="31"/>
        <v>58.3</v>
      </c>
      <c r="AC45">
        <f t="shared" si="32"/>
        <v>0</v>
      </c>
      <c r="AD45">
        <f>ROUND((((ET45)-(EU45))+AE45),6)</f>
        <v>58.3</v>
      </c>
      <c r="AE45">
        <f>ROUND((EU45),6)</f>
        <v>0</v>
      </c>
      <c r="AF45">
        <f>ROUND((EV45),6)</f>
        <v>0</v>
      </c>
      <c r="AG45">
        <f t="shared" si="33"/>
        <v>0</v>
      </c>
      <c r="AH45">
        <f>(EW45)</f>
        <v>0</v>
      </c>
      <c r="AI45">
        <f>(EX45)</f>
        <v>0</v>
      </c>
      <c r="AJ45">
        <f t="shared" si="34"/>
        <v>0</v>
      </c>
      <c r="AK45">
        <v>58.3</v>
      </c>
      <c r="AL45">
        <v>0</v>
      </c>
      <c r="AM45">
        <v>58.3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1</v>
      </c>
      <c r="AW45">
        <v>1</v>
      </c>
      <c r="AZ45">
        <v>1</v>
      </c>
      <c r="BA45">
        <v>20.4</v>
      </c>
      <c r="BB45">
        <v>9.79</v>
      </c>
      <c r="BC45">
        <v>1</v>
      </c>
      <c r="BH45">
        <v>0</v>
      </c>
      <c r="BI45">
        <v>4</v>
      </c>
      <c r="BJ45" t="s">
        <v>93</v>
      </c>
      <c r="BM45">
        <v>1111</v>
      </c>
      <c r="BN45">
        <v>0</v>
      </c>
      <c r="BO45" t="s">
        <v>91</v>
      </c>
      <c r="BP45">
        <v>1</v>
      </c>
      <c r="BQ45">
        <v>150</v>
      </c>
      <c r="BR45">
        <v>0</v>
      </c>
      <c r="BS45">
        <v>20.4</v>
      </c>
      <c r="BT45">
        <v>1</v>
      </c>
      <c r="BU45">
        <v>1</v>
      </c>
      <c r="BV45">
        <v>1</v>
      </c>
      <c r="BW45">
        <v>1</v>
      </c>
      <c r="BX45">
        <v>1</v>
      </c>
      <c r="BZ45">
        <v>0</v>
      </c>
      <c r="CA45">
        <v>0</v>
      </c>
      <c r="CF45">
        <v>0</v>
      </c>
      <c r="CG45">
        <v>0</v>
      </c>
      <c r="CM45">
        <v>0</v>
      </c>
      <c r="CO45">
        <v>0</v>
      </c>
      <c r="CP45">
        <f t="shared" si="35"/>
        <v>46162.83</v>
      </c>
      <c r="CQ45">
        <f t="shared" si="36"/>
        <v>0</v>
      </c>
      <c r="CR45">
        <f>((((ET45)*BB45-(EU45)*BS45)+AE45*BS45)*AV45)</f>
        <v>570.757</v>
      </c>
      <c r="CS45">
        <f t="shared" si="37"/>
        <v>0</v>
      </c>
      <c r="CT45">
        <f t="shared" si="38"/>
        <v>0</v>
      </c>
      <c r="CU45">
        <f t="shared" si="39"/>
        <v>0</v>
      </c>
      <c r="CV45">
        <f t="shared" si="40"/>
        <v>0</v>
      </c>
      <c r="CW45">
        <f t="shared" si="41"/>
        <v>0</v>
      </c>
      <c r="CX45">
        <f t="shared" si="42"/>
        <v>0</v>
      </c>
      <c r="CY45">
        <f t="shared" si="43"/>
        <v>0</v>
      </c>
      <c r="CZ45">
        <f t="shared" si="44"/>
        <v>0</v>
      </c>
      <c r="DN45">
        <v>0</v>
      </c>
      <c r="DO45">
        <v>0</v>
      </c>
      <c r="DP45">
        <v>1</v>
      </c>
      <c r="DQ45">
        <v>1</v>
      </c>
      <c r="DU45">
        <v>1007</v>
      </c>
      <c r="DV45" t="s">
        <v>42</v>
      </c>
      <c r="DW45" t="s">
        <v>42</v>
      </c>
      <c r="DX45">
        <v>1</v>
      </c>
      <c r="EE45">
        <v>34318526</v>
      </c>
      <c r="EF45">
        <v>150</v>
      </c>
      <c r="EG45" t="s">
        <v>94</v>
      </c>
      <c r="EH45">
        <v>0</v>
      </c>
      <c r="EJ45">
        <v>4</v>
      </c>
      <c r="EK45">
        <v>1111</v>
      </c>
      <c r="EL45" t="s">
        <v>95</v>
      </c>
      <c r="EM45" t="s">
        <v>96</v>
      </c>
      <c r="EQ45">
        <v>0</v>
      </c>
      <c r="ER45">
        <v>58.3</v>
      </c>
      <c r="ES45">
        <v>0</v>
      </c>
      <c r="ET45">
        <v>58.3</v>
      </c>
      <c r="EU45">
        <v>0</v>
      </c>
      <c r="EV45">
        <v>0</v>
      </c>
      <c r="EW45">
        <v>0</v>
      </c>
      <c r="EX45">
        <v>0</v>
      </c>
      <c r="EY45">
        <v>0</v>
      </c>
      <c r="FQ45">
        <v>0</v>
      </c>
      <c r="FR45">
        <f t="shared" si="45"/>
        <v>0</v>
      </c>
      <c r="FS45">
        <v>0</v>
      </c>
      <c r="FX45">
        <v>0</v>
      </c>
      <c r="FY45">
        <v>0</v>
      </c>
      <c r="GD45">
        <v>0</v>
      </c>
      <c r="GF45">
        <v>892724858</v>
      </c>
      <c r="GG45">
        <v>2</v>
      </c>
      <c r="GH45">
        <v>1</v>
      </c>
      <c r="GI45">
        <v>2</v>
      </c>
      <c r="GJ45">
        <v>0</v>
      </c>
      <c r="GK45">
        <f>ROUND(R45*(R12)/100,2)</f>
        <v>0</v>
      </c>
      <c r="GL45">
        <f t="shared" si="46"/>
        <v>0</v>
      </c>
      <c r="GM45">
        <f t="shared" si="47"/>
        <v>46162.83</v>
      </c>
      <c r="GN45">
        <f t="shared" si="48"/>
        <v>0</v>
      </c>
      <c r="GO45">
        <f t="shared" si="49"/>
        <v>0</v>
      </c>
      <c r="GP45">
        <f t="shared" si="50"/>
        <v>46162.83</v>
      </c>
      <c r="GT45">
        <v>0</v>
      </c>
      <c r="GU45">
        <v>1</v>
      </c>
      <c r="GV45">
        <v>0</v>
      </c>
      <c r="GW45">
        <v>0</v>
      </c>
      <c r="GX45">
        <f t="shared" si="51"/>
        <v>0</v>
      </c>
    </row>
    <row r="47" spans="1:118" ht="12.75">
      <c r="A47" s="2">
        <v>51</v>
      </c>
      <c r="B47" s="2">
        <f>B28</f>
        <v>1</v>
      </c>
      <c r="C47" s="2">
        <f>A28</f>
        <v>5</v>
      </c>
      <c r="D47" s="2">
        <f>ROW(A28)</f>
        <v>28</v>
      </c>
      <c r="E47" s="2"/>
      <c r="F47" s="2" t="str">
        <f>IF(F28&lt;&gt;"",F28,"")</f>
        <v>Новый подраздел</v>
      </c>
      <c r="G47" s="2" t="str">
        <f>IF(G28&lt;&gt;"",G28,"")</f>
        <v>Строительные и земляные работы</v>
      </c>
      <c r="H47" s="2"/>
      <c r="I47" s="2"/>
      <c r="J47" s="2"/>
      <c r="K47" s="2"/>
      <c r="L47" s="2"/>
      <c r="M47" s="2"/>
      <c r="N47" s="2"/>
      <c r="O47" s="2">
        <f aca="true" t="shared" si="52" ref="O47:T47">ROUND(AB47,2)</f>
        <v>1013651.81</v>
      </c>
      <c r="P47" s="2">
        <f t="shared" si="52"/>
        <v>553238.67</v>
      </c>
      <c r="Q47" s="2">
        <f t="shared" si="52"/>
        <v>68413.7</v>
      </c>
      <c r="R47" s="2">
        <f t="shared" si="52"/>
        <v>11883.03</v>
      </c>
      <c r="S47" s="2">
        <f t="shared" si="52"/>
        <v>391999.44</v>
      </c>
      <c r="T47" s="2">
        <f t="shared" si="52"/>
        <v>0</v>
      </c>
      <c r="U47" s="2">
        <f>AH47</f>
        <v>1844.6421065567995</v>
      </c>
      <c r="V47" s="2">
        <f>AI47</f>
        <v>0</v>
      </c>
      <c r="W47" s="2">
        <f>ROUND(AJ47,2)</f>
        <v>0</v>
      </c>
      <c r="X47" s="2">
        <f>ROUND(AK47,2)</f>
        <v>333969.48</v>
      </c>
      <c r="Y47" s="2">
        <f>ROUND(AL47,2)</f>
        <v>161531.44</v>
      </c>
      <c r="Z47" s="2"/>
      <c r="AA47" s="2"/>
      <c r="AB47" s="2">
        <f>ROUND(SUMIF(AA32:AA45,"=34388368",O32:O45),2)</f>
        <v>1013651.81</v>
      </c>
      <c r="AC47" s="2">
        <f>ROUND(SUMIF(AA32:AA45,"=34388368",P32:P45),2)</f>
        <v>553238.67</v>
      </c>
      <c r="AD47" s="2">
        <f>ROUND(SUMIF(AA32:AA45,"=34388368",Q32:Q45),2)</f>
        <v>68413.7</v>
      </c>
      <c r="AE47" s="2">
        <f>ROUND(SUMIF(AA32:AA45,"=34388368",R32:R45),2)</f>
        <v>11883.03</v>
      </c>
      <c r="AF47" s="2">
        <f>ROUND(SUMIF(AA32:AA45,"=34388368",S32:S45),2)</f>
        <v>391999.44</v>
      </c>
      <c r="AG47" s="2">
        <f>ROUND(SUMIF(AA32:AA45,"=34388368",T32:T45),2)</f>
        <v>0</v>
      </c>
      <c r="AH47" s="2">
        <f>SUMIF(AA32:AA45,"=34388368",U32:U45)</f>
        <v>1844.6421065567995</v>
      </c>
      <c r="AI47" s="2">
        <f>SUMIF(AA32:AA45,"=34388368",V32:V45)</f>
        <v>0</v>
      </c>
      <c r="AJ47" s="2">
        <f>ROUND(SUMIF(AA32:AA45,"=34388368",W32:W45),2)</f>
        <v>0</v>
      </c>
      <c r="AK47" s="2">
        <f>ROUND(SUMIF(AA32:AA45,"=34388368",X32:X45),2)</f>
        <v>333969.48</v>
      </c>
      <c r="AL47" s="2">
        <f>ROUND(SUMIF(AA32:AA45,"=34388368",Y32:Y45),2)</f>
        <v>161531.44</v>
      </c>
      <c r="AM47" s="2"/>
      <c r="AN47" s="2"/>
      <c r="AO47" s="2">
        <f aca="true" t="shared" si="53" ref="AO47:AZ47">ROUND(BB47,2)</f>
        <v>0</v>
      </c>
      <c r="AP47" s="2">
        <f t="shared" si="53"/>
        <v>0</v>
      </c>
      <c r="AQ47" s="2">
        <f t="shared" si="53"/>
        <v>0</v>
      </c>
      <c r="AR47" s="2">
        <f t="shared" si="53"/>
        <v>1528997.39</v>
      </c>
      <c r="AS47" s="2">
        <f t="shared" si="53"/>
        <v>1418973.53</v>
      </c>
      <c r="AT47" s="2">
        <f t="shared" si="53"/>
        <v>63861.03</v>
      </c>
      <c r="AU47" s="2">
        <f t="shared" si="53"/>
        <v>46162.83</v>
      </c>
      <c r="AV47" s="2">
        <f t="shared" si="53"/>
        <v>553238.67</v>
      </c>
      <c r="AW47" s="2">
        <f t="shared" si="53"/>
        <v>553238.67</v>
      </c>
      <c r="AX47" s="2">
        <f t="shared" si="53"/>
        <v>0</v>
      </c>
      <c r="AY47" s="2">
        <f t="shared" si="53"/>
        <v>553238.67</v>
      </c>
      <c r="AZ47" s="2">
        <f t="shared" si="53"/>
        <v>0</v>
      </c>
      <c r="BA47" s="2"/>
      <c r="BB47" s="2">
        <f>ROUND(SUMIF(AA32:AA45,"=34388368",FQ32:FQ45),2)</f>
        <v>0</v>
      </c>
      <c r="BC47" s="2">
        <f>ROUND(SUMIF(AA32:AA45,"=34388368",FR32:FR45),2)</f>
        <v>0</v>
      </c>
      <c r="BD47" s="2">
        <f>ROUND(SUMIF(AA32:AA45,"=34388368",GL32:GL45),2)</f>
        <v>0</v>
      </c>
      <c r="BE47" s="2">
        <f>ROUND(SUMIF(AA32:AA45,"=34388368",GM32:GM45),2)</f>
        <v>1528997.39</v>
      </c>
      <c r="BF47" s="2">
        <f>ROUND(SUMIF(AA32:AA45,"=34388368",GN32:GN45),2)</f>
        <v>1418973.53</v>
      </c>
      <c r="BG47" s="2">
        <f>ROUND(SUMIF(AA32:AA45,"=34388368",GO32:GO45),2)</f>
        <v>63861.03</v>
      </c>
      <c r="BH47" s="2">
        <f>ROUND(SUMIF(AA32:AA45,"=34388368",GP32:GP45),2)</f>
        <v>46162.83</v>
      </c>
      <c r="BI47" s="2">
        <f>AC47-BB47</f>
        <v>553238.67</v>
      </c>
      <c r="BJ47" s="2">
        <f>AC47-BC47</f>
        <v>553238.67</v>
      </c>
      <c r="BK47" s="2">
        <f>BB47-BD47</f>
        <v>0</v>
      </c>
      <c r="BL47" s="2">
        <f>AC47-BB47-BC47+BD47</f>
        <v>553238.67</v>
      </c>
      <c r="BM47" s="2">
        <f>BC47-BD47</f>
        <v>0</v>
      </c>
      <c r="BN47" s="2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>
        <v>0</v>
      </c>
    </row>
    <row r="49" spans="1:16" ht="12.75">
      <c r="A49" s="4">
        <v>50</v>
      </c>
      <c r="B49" s="4">
        <v>0</v>
      </c>
      <c r="C49" s="4">
        <v>0</v>
      </c>
      <c r="D49" s="4">
        <v>1</v>
      </c>
      <c r="E49" s="4">
        <v>201</v>
      </c>
      <c r="F49" s="4">
        <f>ROUND(Source!O47,O49)</f>
        <v>1013651.81</v>
      </c>
      <c r="G49" s="4" t="s">
        <v>97</v>
      </c>
      <c r="H49" s="4" t="s">
        <v>98</v>
      </c>
      <c r="I49" s="4"/>
      <c r="J49" s="4"/>
      <c r="K49" s="4">
        <v>201</v>
      </c>
      <c r="L49" s="4">
        <v>1</v>
      </c>
      <c r="M49" s="4">
        <v>3</v>
      </c>
      <c r="N49" s="4" t="s">
        <v>6</v>
      </c>
      <c r="O49" s="4">
        <v>2</v>
      </c>
      <c r="P49" s="4"/>
    </row>
    <row r="50" spans="1:16" ht="12.75">
      <c r="A50" s="4">
        <v>50</v>
      </c>
      <c r="B50" s="4">
        <v>0</v>
      </c>
      <c r="C50" s="4">
        <v>0</v>
      </c>
      <c r="D50" s="4">
        <v>1</v>
      </c>
      <c r="E50" s="4">
        <v>202</v>
      </c>
      <c r="F50" s="4">
        <f>ROUND(Source!P47,O50)</f>
        <v>553238.67</v>
      </c>
      <c r="G50" s="4" t="s">
        <v>99</v>
      </c>
      <c r="H50" s="4" t="s">
        <v>100</v>
      </c>
      <c r="I50" s="4"/>
      <c r="J50" s="4"/>
      <c r="K50" s="4">
        <v>202</v>
      </c>
      <c r="L50" s="4">
        <v>2</v>
      </c>
      <c r="M50" s="4">
        <v>3</v>
      </c>
      <c r="N50" s="4" t="s">
        <v>6</v>
      </c>
      <c r="O50" s="4">
        <v>2</v>
      </c>
      <c r="P50" s="4"/>
    </row>
    <row r="51" spans="1:16" ht="12.75">
      <c r="A51" s="4">
        <v>50</v>
      </c>
      <c r="B51" s="4">
        <v>0</v>
      </c>
      <c r="C51" s="4">
        <v>0</v>
      </c>
      <c r="D51" s="4">
        <v>1</v>
      </c>
      <c r="E51" s="4">
        <v>222</v>
      </c>
      <c r="F51" s="4">
        <f>ROUND(Source!AO47,O51)</f>
        <v>0</v>
      </c>
      <c r="G51" s="4" t="s">
        <v>101</v>
      </c>
      <c r="H51" s="4" t="s">
        <v>102</v>
      </c>
      <c r="I51" s="4"/>
      <c r="J51" s="4"/>
      <c r="K51" s="4">
        <v>222</v>
      </c>
      <c r="L51" s="4">
        <v>3</v>
      </c>
      <c r="M51" s="4">
        <v>3</v>
      </c>
      <c r="N51" s="4" t="s">
        <v>6</v>
      </c>
      <c r="O51" s="4">
        <v>2</v>
      </c>
      <c r="P51" s="4"/>
    </row>
    <row r="52" spans="1:16" ht="12.75">
      <c r="A52" s="4">
        <v>50</v>
      </c>
      <c r="B52" s="4">
        <v>0</v>
      </c>
      <c r="C52" s="4">
        <v>0</v>
      </c>
      <c r="D52" s="4">
        <v>1</v>
      </c>
      <c r="E52" s="4">
        <v>225</v>
      </c>
      <c r="F52" s="4">
        <f>ROUND(Source!AV47,O52)</f>
        <v>553238.67</v>
      </c>
      <c r="G52" s="4" t="s">
        <v>103</v>
      </c>
      <c r="H52" s="4" t="s">
        <v>104</v>
      </c>
      <c r="I52" s="4"/>
      <c r="J52" s="4"/>
      <c r="K52" s="4">
        <v>225</v>
      </c>
      <c r="L52" s="4">
        <v>4</v>
      </c>
      <c r="M52" s="4">
        <v>3</v>
      </c>
      <c r="N52" s="4" t="s">
        <v>6</v>
      </c>
      <c r="O52" s="4">
        <v>2</v>
      </c>
      <c r="P52" s="4"/>
    </row>
    <row r="53" spans="1:16" ht="12.75">
      <c r="A53" s="4">
        <v>50</v>
      </c>
      <c r="B53" s="4">
        <v>0</v>
      </c>
      <c r="C53" s="4">
        <v>0</v>
      </c>
      <c r="D53" s="4">
        <v>1</v>
      </c>
      <c r="E53" s="4">
        <v>226</v>
      </c>
      <c r="F53" s="4">
        <f>ROUND(Source!AW47,O53)</f>
        <v>553238.67</v>
      </c>
      <c r="G53" s="4" t="s">
        <v>105</v>
      </c>
      <c r="H53" s="4" t="s">
        <v>106</v>
      </c>
      <c r="I53" s="4"/>
      <c r="J53" s="4"/>
      <c r="K53" s="4">
        <v>226</v>
      </c>
      <c r="L53" s="4">
        <v>5</v>
      </c>
      <c r="M53" s="4">
        <v>3</v>
      </c>
      <c r="N53" s="4" t="s">
        <v>6</v>
      </c>
      <c r="O53" s="4">
        <v>2</v>
      </c>
      <c r="P53" s="4"/>
    </row>
    <row r="54" spans="1:16" ht="12.75">
      <c r="A54" s="4">
        <v>50</v>
      </c>
      <c r="B54" s="4">
        <v>0</v>
      </c>
      <c r="C54" s="4">
        <v>0</v>
      </c>
      <c r="D54" s="4">
        <v>1</v>
      </c>
      <c r="E54" s="4">
        <v>227</v>
      </c>
      <c r="F54" s="4">
        <f>ROUND(Source!AX47,O54)</f>
        <v>0</v>
      </c>
      <c r="G54" s="4" t="s">
        <v>107</v>
      </c>
      <c r="H54" s="4" t="s">
        <v>108</v>
      </c>
      <c r="I54" s="4"/>
      <c r="J54" s="4"/>
      <c r="K54" s="4">
        <v>227</v>
      </c>
      <c r="L54" s="4">
        <v>6</v>
      </c>
      <c r="M54" s="4">
        <v>3</v>
      </c>
      <c r="N54" s="4" t="s">
        <v>6</v>
      </c>
      <c r="O54" s="4">
        <v>2</v>
      </c>
      <c r="P54" s="4"/>
    </row>
    <row r="55" spans="1:16" ht="12.75">
      <c r="A55" s="4">
        <v>50</v>
      </c>
      <c r="B55" s="4">
        <v>0</v>
      </c>
      <c r="C55" s="4">
        <v>0</v>
      </c>
      <c r="D55" s="4">
        <v>1</v>
      </c>
      <c r="E55" s="4">
        <v>228</v>
      </c>
      <c r="F55" s="4">
        <f>ROUND(Source!AY47,O55)</f>
        <v>553238.67</v>
      </c>
      <c r="G55" s="4" t="s">
        <v>109</v>
      </c>
      <c r="H55" s="4" t="s">
        <v>110</v>
      </c>
      <c r="I55" s="4"/>
      <c r="J55" s="4"/>
      <c r="K55" s="4">
        <v>228</v>
      </c>
      <c r="L55" s="4">
        <v>7</v>
      </c>
      <c r="M55" s="4">
        <v>3</v>
      </c>
      <c r="N55" s="4" t="s">
        <v>6</v>
      </c>
      <c r="O55" s="4">
        <v>2</v>
      </c>
      <c r="P55" s="4"/>
    </row>
    <row r="56" spans="1:16" ht="12.75">
      <c r="A56" s="4">
        <v>50</v>
      </c>
      <c r="B56" s="4">
        <v>0</v>
      </c>
      <c r="C56" s="4">
        <v>0</v>
      </c>
      <c r="D56" s="4">
        <v>1</v>
      </c>
      <c r="E56" s="4">
        <v>216</v>
      </c>
      <c r="F56" s="4">
        <f>ROUND(Source!AP47,O56)</f>
        <v>0</v>
      </c>
      <c r="G56" s="4" t="s">
        <v>111</v>
      </c>
      <c r="H56" s="4" t="s">
        <v>112</v>
      </c>
      <c r="I56" s="4"/>
      <c r="J56" s="4"/>
      <c r="K56" s="4">
        <v>216</v>
      </c>
      <c r="L56" s="4">
        <v>8</v>
      </c>
      <c r="M56" s="4">
        <v>3</v>
      </c>
      <c r="N56" s="4" t="s">
        <v>6</v>
      </c>
      <c r="O56" s="4">
        <v>2</v>
      </c>
      <c r="P56" s="4"/>
    </row>
    <row r="57" spans="1:16" ht="12.75">
      <c r="A57" s="4">
        <v>50</v>
      </c>
      <c r="B57" s="4">
        <v>0</v>
      </c>
      <c r="C57" s="4">
        <v>0</v>
      </c>
      <c r="D57" s="4">
        <v>1</v>
      </c>
      <c r="E57" s="4">
        <v>223</v>
      </c>
      <c r="F57" s="4">
        <f>ROUND(Source!AQ47,O57)</f>
        <v>0</v>
      </c>
      <c r="G57" s="4" t="s">
        <v>113</v>
      </c>
      <c r="H57" s="4" t="s">
        <v>114</v>
      </c>
      <c r="I57" s="4"/>
      <c r="J57" s="4"/>
      <c r="K57" s="4">
        <v>223</v>
      </c>
      <c r="L57" s="4">
        <v>9</v>
      </c>
      <c r="M57" s="4">
        <v>3</v>
      </c>
      <c r="N57" s="4" t="s">
        <v>6</v>
      </c>
      <c r="O57" s="4">
        <v>2</v>
      </c>
      <c r="P57" s="4"/>
    </row>
    <row r="58" spans="1:16" ht="12.75">
      <c r="A58" s="4">
        <v>50</v>
      </c>
      <c r="B58" s="4">
        <v>0</v>
      </c>
      <c r="C58" s="4">
        <v>0</v>
      </c>
      <c r="D58" s="4">
        <v>1</v>
      </c>
      <c r="E58" s="4">
        <v>229</v>
      </c>
      <c r="F58" s="4">
        <f>ROUND(Source!AZ47,O58)</f>
        <v>0</v>
      </c>
      <c r="G58" s="4" t="s">
        <v>115</v>
      </c>
      <c r="H58" s="4" t="s">
        <v>116</v>
      </c>
      <c r="I58" s="4"/>
      <c r="J58" s="4"/>
      <c r="K58" s="4">
        <v>229</v>
      </c>
      <c r="L58" s="4">
        <v>10</v>
      </c>
      <c r="M58" s="4">
        <v>3</v>
      </c>
      <c r="N58" s="4" t="s">
        <v>6</v>
      </c>
      <c r="O58" s="4">
        <v>2</v>
      </c>
      <c r="P58" s="4"/>
    </row>
    <row r="59" spans="1:16" ht="12.75">
      <c r="A59" s="4">
        <v>50</v>
      </c>
      <c r="B59" s="4">
        <v>0</v>
      </c>
      <c r="C59" s="4">
        <v>0</v>
      </c>
      <c r="D59" s="4">
        <v>1</v>
      </c>
      <c r="E59" s="4">
        <v>203</v>
      </c>
      <c r="F59" s="4">
        <f>ROUND(Source!Q47,O59)</f>
        <v>68413.7</v>
      </c>
      <c r="G59" s="4" t="s">
        <v>117</v>
      </c>
      <c r="H59" s="4" t="s">
        <v>118</v>
      </c>
      <c r="I59" s="4"/>
      <c r="J59" s="4"/>
      <c r="K59" s="4">
        <v>203</v>
      </c>
      <c r="L59" s="4">
        <v>11</v>
      </c>
      <c r="M59" s="4">
        <v>3</v>
      </c>
      <c r="N59" s="4" t="s">
        <v>6</v>
      </c>
      <c r="O59" s="4">
        <v>2</v>
      </c>
      <c r="P59" s="4"/>
    </row>
    <row r="60" spans="1:16" ht="12.75">
      <c r="A60" s="4">
        <v>50</v>
      </c>
      <c r="B60" s="4">
        <v>0</v>
      </c>
      <c r="C60" s="4">
        <v>0</v>
      </c>
      <c r="D60" s="4">
        <v>1</v>
      </c>
      <c r="E60" s="4">
        <v>204</v>
      </c>
      <c r="F60" s="4">
        <f>ROUND(Source!R47,O60)</f>
        <v>11883.03</v>
      </c>
      <c r="G60" s="4" t="s">
        <v>119</v>
      </c>
      <c r="H60" s="4" t="s">
        <v>120</v>
      </c>
      <c r="I60" s="4"/>
      <c r="J60" s="4"/>
      <c r="K60" s="4">
        <v>204</v>
      </c>
      <c r="L60" s="4">
        <v>12</v>
      </c>
      <c r="M60" s="4">
        <v>3</v>
      </c>
      <c r="N60" s="4" t="s">
        <v>6</v>
      </c>
      <c r="O60" s="4">
        <v>2</v>
      </c>
      <c r="P60" s="4"/>
    </row>
    <row r="61" spans="1:16" ht="12.75">
      <c r="A61" s="4">
        <v>50</v>
      </c>
      <c r="B61" s="4">
        <v>0</v>
      </c>
      <c r="C61" s="4">
        <v>0</v>
      </c>
      <c r="D61" s="4">
        <v>1</v>
      </c>
      <c r="E61" s="4">
        <v>205</v>
      </c>
      <c r="F61" s="4">
        <f>ROUND(Source!S47,O61)</f>
        <v>391999.44</v>
      </c>
      <c r="G61" s="4" t="s">
        <v>121</v>
      </c>
      <c r="H61" s="4" t="s">
        <v>122</v>
      </c>
      <c r="I61" s="4"/>
      <c r="J61" s="4"/>
      <c r="K61" s="4">
        <v>205</v>
      </c>
      <c r="L61" s="4">
        <v>13</v>
      </c>
      <c r="M61" s="4">
        <v>3</v>
      </c>
      <c r="N61" s="4" t="s">
        <v>6</v>
      </c>
      <c r="O61" s="4">
        <v>2</v>
      </c>
      <c r="P61" s="4"/>
    </row>
    <row r="62" spans="1:16" ht="12.75">
      <c r="A62" s="4">
        <v>50</v>
      </c>
      <c r="B62" s="4">
        <v>0</v>
      </c>
      <c r="C62" s="4">
        <v>0</v>
      </c>
      <c r="D62" s="4">
        <v>1</v>
      </c>
      <c r="E62" s="4">
        <v>214</v>
      </c>
      <c r="F62" s="4">
        <f>ROUND(Source!AS47,O62)</f>
        <v>1418973.53</v>
      </c>
      <c r="G62" s="4" t="s">
        <v>123</v>
      </c>
      <c r="H62" s="4" t="s">
        <v>124</v>
      </c>
      <c r="I62" s="4"/>
      <c r="J62" s="4"/>
      <c r="K62" s="4">
        <v>214</v>
      </c>
      <c r="L62" s="4">
        <v>14</v>
      </c>
      <c r="M62" s="4">
        <v>3</v>
      </c>
      <c r="N62" s="4" t="s">
        <v>6</v>
      </c>
      <c r="O62" s="4">
        <v>2</v>
      </c>
      <c r="P62" s="4"/>
    </row>
    <row r="63" spans="1:16" ht="12.75">
      <c r="A63" s="4">
        <v>50</v>
      </c>
      <c r="B63" s="4">
        <v>0</v>
      </c>
      <c r="C63" s="4">
        <v>0</v>
      </c>
      <c r="D63" s="4">
        <v>1</v>
      </c>
      <c r="E63" s="4">
        <v>215</v>
      </c>
      <c r="F63" s="4">
        <f>ROUND(Source!AT47,O63)</f>
        <v>63861.03</v>
      </c>
      <c r="G63" s="4" t="s">
        <v>125</v>
      </c>
      <c r="H63" s="4" t="s">
        <v>126</v>
      </c>
      <c r="I63" s="4"/>
      <c r="J63" s="4"/>
      <c r="K63" s="4">
        <v>215</v>
      </c>
      <c r="L63" s="4">
        <v>15</v>
      </c>
      <c r="M63" s="4">
        <v>3</v>
      </c>
      <c r="N63" s="4" t="s">
        <v>6</v>
      </c>
      <c r="O63" s="4">
        <v>2</v>
      </c>
      <c r="P63" s="4"/>
    </row>
    <row r="64" spans="1:16" ht="12.75">
      <c r="A64" s="4">
        <v>50</v>
      </c>
      <c r="B64" s="4">
        <v>0</v>
      </c>
      <c r="C64" s="4">
        <v>0</v>
      </c>
      <c r="D64" s="4">
        <v>1</v>
      </c>
      <c r="E64" s="4">
        <v>217</v>
      </c>
      <c r="F64" s="4">
        <f>ROUND(Source!AU47,O64)</f>
        <v>46162.83</v>
      </c>
      <c r="G64" s="4" t="s">
        <v>127</v>
      </c>
      <c r="H64" s="4" t="s">
        <v>128</v>
      </c>
      <c r="I64" s="4"/>
      <c r="J64" s="4"/>
      <c r="K64" s="4">
        <v>217</v>
      </c>
      <c r="L64" s="4">
        <v>16</v>
      </c>
      <c r="M64" s="4">
        <v>3</v>
      </c>
      <c r="N64" s="4" t="s">
        <v>6</v>
      </c>
      <c r="O64" s="4">
        <v>2</v>
      </c>
      <c r="P64" s="4"/>
    </row>
    <row r="65" spans="1:16" ht="12.75">
      <c r="A65" s="4">
        <v>50</v>
      </c>
      <c r="B65" s="4">
        <v>0</v>
      </c>
      <c r="C65" s="4">
        <v>0</v>
      </c>
      <c r="D65" s="4">
        <v>1</v>
      </c>
      <c r="E65" s="4">
        <v>206</v>
      </c>
      <c r="F65" s="4">
        <f>ROUND(Source!T47,O65)</f>
        <v>0</v>
      </c>
      <c r="G65" s="4" t="s">
        <v>129</v>
      </c>
      <c r="H65" s="4" t="s">
        <v>130</v>
      </c>
      <c r="I65" s="4"/>
      <c r="J65" s="4"/>
      <c r="K65" s="4">
        <v>206</v>
      </c>
      <c r="L65" s="4">
        <v>17</v>
      </c>
      <c r="M65" s="4">
        <v>3</v>
      </c>
      <c r="N65" s="4" t="s">
        <v>6</v>
      </c>
      <c r="O65" s="4">
        <v>2</v>
      </c>
      <c r="P65" s="4"/>
    </row>
    <row r="66" spans="1:16" ht="12.75">
      <c r="A66" s="4">
        <v>50</v>
      </c>
      <c r="B66" s="4">
        <v>0</v>
      </c>
      <c r="C66" s="4">
        <v>0</v>
      </c>
      <c r="D66" s="4">
        <v>1</v>
      </c>
      <c r="E66" s="4">
        <v>207</v>
      </c>
      <c r="F66" s="4">
        <f>Source!U47</f>
        <v>1844.6421065567995</v>
      </c>
      <c r="G66" s="4" t="s">
        <v>131</v>
      </c>
      <c r="H66" s="4" t="s">
        <v>132</v>
      </c>
      <c r="I66" s="4"/>
      <c r="J66" s="4"/>
      <c r="K66" s="4">
        <v>207</v>
      </c>
      <c r="L66" s="4">
        <v>18</v>
      </c>
      <c r="M66" s="4">
        <v>3</v>
      </c>
      <c r="N66" s="4" t="s">
        <v>6</v>
      </c>
      <c r="O66" s="4">
        <v>-1</v>
      </c>
      <c r="P66" s="4"/>
    </row>
    <row r="67" spans="1:16" ht="12.75">
      <c r="A67" s="4">
        <v>50</v>
      </c>
      <c r="B67" s="4">
        <v>0</v>
      </c>
      <c r="C67" s="4">
        <v>0</v>
      </c>
      <c r="D67" s="4">
        <v>1</v>
      </c>
      <c r="E67" s="4">
        <v>208</v>
      </c>
      <c r="F67" s="4">
        <f>Source!V47</f>
        <v>0</v>
      </c>
      <c r="G67" s="4" t="s">
        <v>133</v>
      </c>
      <c r="H67" s="4" t="s">
        <v>134</v>
      </c>
      <c r="I67" s="4"/>
      <c r="J67" s="4"/>
      <c r="K67" s="4">
        <v>208</v>
      </c>
      <c r="L67" s="4">
        <v>19</v>
      </c>
      <c r="M67" s="4">
        <v>3</v>
      </c>
      <c r="N67" s="4" t="s">
        <v>6</v>
      </c>
      <c r="O67" s="4">
        <v>-1</v>
      </c>
      <c r="P67" s="4"/>
    </row>
    <row r="68" spans="1:16" ht="12.75">
      <c r="A68" s="4">
        <v>50</v>
      </c>
      <c r="B68" s="4">
        <v>0</v>
      </c>
      <c r="C68" s="4">
        <v>0</v>
      </c>
      <c r="D68" s="4">
        <v>1</v>
      </c>
      <c r="E68" s="4">
        <v>209</v>
      </c>
      <c r="F68" s="4">
        <f>ROUND(Source!W47,O68)</f>
        <v>0</v>
      </c>
      <c r="G68" s="4" t="s">
        <v>135</v>
      </c>
      <c r="H68" s="4" t="s">
        <v>136</v>
      </c>
      <c r="I68" s="4"/>
      <c r="J68" s="4"/>
      <c r="K68" s="4">
        <v>209</v>
      </c>
      <c r="L68" s="4">
        <v>20</v>
      </c>
      <c r="M68" s="4">
        <v>3</v>
      </c>
      <c r="N68" s="4" t="s">
        <v>6</v>
      </c>
      <c r="O68" s="4">
        <v>2</v>
      </c>
      <c r="P68" s="4"/>
    </row>
    <row r="69" spans="1:16" ht="12.75">
      <c r="A69" s="4">
        <v>50</v>
      </c>
      <c r="B69" s="4">
        <v>0</v>
      </c>
      <c r="C69" s="4">
        <v>0</v>
      </c>
      <c r="D69" s="4">
        <v>1</v>
      </c>
      <c r="E69" s="4">
        <v>210</v>
      </c>
      <c r="F69" s="4">
        <f>ROUND(Source!X47,O69)</f>
        <v>333969.48</v>
      </c>
      <c r="G69" s="4" t="s">
        <v>137</v>
      </c>
      <c r="H69" s="4" t="s">
        <v>138</v>
      </c>
      <c r="I69" s="4"/>
      <c r="J69" s="4"/>
      <c r="K69" s="4">
        <v>210</v>
      </c>
      <c r="L69" s="4">
        <v>21</v>
      </c>
      <c r="M69" s="4">
        <v>3</v>
      </c>
      <c r="N69" s="4" t="s">
        <v>6</v>
      </c>
      <c r="O69" s="4">
        <v>2</v>
      </c>
      <c r="P69" s="4"/>
    </row>
    <row r="70" spans="1:16" ht="12.75">
      <c r="A70" s="4">
        <v>50</v>
      </c>
      <c r="B70" s="4">
        <v>0</v>
      </c>
      <c r="C70" s="4">
        <v>0</v>
      </c>
      <c r="D70" s="4">
        <v>1</v>
      </c>
      <c r="E70" s="4">
        <v>211</v>
      </c>
      <c r="F70" s="4">
        <f>ROUND(Source!Y47,O70)</f>
        <v>161531.44</v>
      </c>
      <c r="G70" s="4" t="s">
        <v>139</v>
      </c>
      <c r="H70" s="4" t="s">
        <v>140</v>
      </c>
      <c r="I70" s="4"/>
      <c r="J70" s="4"/>
      <c r="K70" s="4">
        <v>211</v>
      </c>
      <c r="L70" s="4">
        <v>22</v>
      </c>
      <c r="M70" s="4">
        <v>3</v>
      </c>
      <c r="N70" s="4" t="s">
        <v>6</v>
      </c>
      <c r="O70" s="4">
        <v>2</v>
      </c>
      <c r="P70" s="4"/>
    </row>
    <row r="71" spans="1:16" ht="12.75">
      <c r="A71" s="4">
        <v>50</v>
      </c>
      <c r="B71" s="4">
        <v>0</v>
      </c>
      <c r="C71" s="4">
        <v>0</v>
      </c>
      <c r="D71" s="4">
        <v>1</v>
      </c>
      <c r="E71" s="4">
        <v>224</v>
      </c>
      <c r="F71" s="4">
        <f>ROUND(Source!AR47,O71)</f>
        <v>1528997.39</v>
      </c>
      <c r="G71" s="4" t="s">
        <v>141</v>
      </c>
      <c r="H71" s="4" t="s">
        <v>142</v>
      </c>
      <c r="I71" s="4"/>
      <c r="J71" s="4"/>
      <c r="K71" s="4">
        <v>224</v>
      </c>
      <c r="L71" s="4">
        <v>23</v>
      </c>
      <c r="M71" s="4">
        <v>3</v>
      </c>
      <c r="N71" s="4" t="s">
        <v>6</v>
      </c>
      <c r="O71" s="4">
        <v>2</v>
      </c>
      <c r="P71" s="4"/>
    </row>
    <row r="73" spans="1:88" ht="12.75">
      <c r="A73" s="1">
        <v>5</v>
      </c>
      <c r="B73" s="1">
        <v>1</v>
      </c>
      <c r="C73" s="1"/>
      <c r="D73" s="1">
        <f>ROW(A90)</f>
        <v>90</v>
      </c>
      <c r="E73" s="1"/>
      <c r="F73" s="1" t="s">
        <v>19</v>
      </c>
      <c r="G73" s="1" t="s">
        <v>143</v>
      </c>
      <c r="H73" s="1" t="s">
        <v>6</v>
      </c>
      <c r="I73" s="1">
        <v>0</v>
      </c>
      <c r="J73" s="1"/>
      <c r="K73" s="1">
        <v>0</v>
      </c>
      <c r="L73" s="1"/>
      <c r="M73" s="1"/>
      <c r="N73" s="1"/>
      <c r="O73" s="1"/>
      <c r="P73" s="1"/>
      <c r="Q73" s="1"/>
      <c r="R73" s="1"/>
      <c r="S73" s="1"/>
      <c r="T73" s="1"/>
      <c r="U73" s="1" t="s">
        <v>6</v>
      </c>
      <c r="V73" s="1">
        <v>0</v>
      </c>
      <c r="W73" s="1"/>
      <c r="X73" s="1"/>
      <c r="Y73" s="1"/>
      <c r="Z73" s="1"/>
      <c r="AA73" s="1"/>
      <c r="AB73" s="1" t="s">
        <v>6</v>
      </c>
      <c r="AC73" s="1" t="s">
        <v>6</v>
      </c>
      <c r="AD73" s="1" t="s">
        <v>6</v>
      </c>
      <c r="AE73" s="1" t="s">
        <v>6</v>
      </c>
      <c r="AF73" s="1" t="s">
        <v>6</v>
      </c>
      <c r="AG73" s="1" t="s">
        <v>6</v>
      </c>
      <c r="AH73" s="1"/>
      <c r="AI73" s="1"/>
      <c r="AJ73" s="1"/>
      <c r="AK73" s="1"/>
      <c r="AL73" s="1"/>
      <c r="AM73" s="1"/>
      <c r="AN73" s="1"/>
      <c r="AO73" s="1"/>
      <c r="AP73" s="1" t="s">
        <v>6</v>
      </c>
      <c r="AQ73" s="1" t="s">
        <v>6</v>
      </c>
      <c r="AR73" s="1" t="s">
        <v>6</v>
      </c>
      <c r="AS73" s="1"/>
      <c r="AT73" s="1"/>
      <c r="AU73" s="1"/>
      <c r="AV73" s="1"/>
      <c r="AW73" s="1"/>
      <c r="AX73" s="1"/>
      <c r="AY73" s="1"/>
      <c r="AZ73" s="1" t="s">
        <v>6</v>
      </c>
      <c r="BA73" s="1"/>
      <c r="BB73" s="1" t="s">
        <v>6</v>
      </c>
      <c r="BC73" s="1" t="s">
        <v>6</v>
      </c>
      <c r="BD73" s="1" t="s">
        <v>6</v>
      </c>
      <c r="BE73" s="1" t="s">
        <v>6</v>
      </c>
      <c r="BF73" s="1" t="s">
        <v>6</v>
      </c>
      <c r="BG73" s="1" t="s">
        <v>6</v>
      </c>
      <c r="BH73" s="1" t="s">
        <v>6</v>
      </c>
      <c r="BI73" s="1" t="s">
        <v>6</v>
      </c>
      <c r="BJ73" s="1" t="s">
        <v>6</v>
      </c>
      <c r="BK73" s="1" t="s">
        <v>6</v>
      </c>
      <c r="BL73" s="1" t="s">
        <v>6</v>
      </c>
      <c r="BM73" s="1" t="s">
        <v>6</v>
      </c>
      <c r="BN73" s="1" t="s">
        <v>6</v>
      </c>
      <c r="BO73" s="1" t="s">
        <v>6</v>
      </c>
      <c r="BP73" s="1" t="s">
        <v>6</v>
      </c>
      <c r="BQ73" s="1"/>
      <c r="BR73" s="1"/>
      <c r="BS73" s="1"/>
      <c r="BT73" s="1"/>
      <c r="BU73" s="1"/>
      <c r="BV73" s="1"/>
      <c r="BW73" s="1"/>
      <c r="BX73" s="1">
        <v>0</v>
      </c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>
        <v>0</v>
      </c>
    </row>
    <row r="75" spans="1:118" ht="12.75">
      <c r="A75" s="2">
        <v>52</v>
      </c>
      <c r="B75" s="2">
        <f aca="true" t="shared" si="54" ref="B75:G75">B90</f>
        <v>1</v>
      </c>
      <c r="C75" s="2">
        <f t="shared" si="54"/>
        <v>5</v>
      </c>
      <c r="D75" s="2">
        <f t="shared" si="54"/>
        <v>73</v>
      </c>
      <c r="E75" s="2">
        <f t="shared" si="54"/>
        <v>0</v>
      </c>
      <c r="F75" s="2" t="str">
        <f t="shared" si="54"/>
        <v>Новый подраздел</v>
      </c>
      <c r="G75" s="2" t="str">
        <f t="shared" si="54"/>
        <v>Электромонтажные работы</v>
      </c>
      <c r="H75" s="2"/>
      <c r="I75" s="2"/>
      <c r="J75" s="2"/>
      <c r="K75" s="2"/>
      <c r="L75" s="2"/>
      <c r="M75" s="2"/>
      <c r="N75" s="2"/>
      <c r="O75" s="2">
        <f aca="true" t="shared" si="55" ref="O75:AT75">O90</f>
        <v>5828917.4</v>
      </c>
      <c r="P75" s="2">
        <f t="shared" si="55"/>
        <v>5118335.22</v>
      </c>
      <c r="Q75" s="2">
        <f t="shared" si="55"/>
        <v>217079.5</v>
      </c>
      <c r="R75" s="2">
        <f t="shared" si="55"/>
        <v>103854.25</v>
      </c>
      <c r="S75" s="2">
        <f t="shared" si="55"/>
        <v>493502.68</v>
      </c>
      <c r="T75" s="2">
        <f t="shared" si="55"/>
        <v>0</v>
      </c>
      <c r="U75" s="2">
        <f t="shared" si="55"/>
        <v>1936.5897394699996</v>
      </c>
      <c r="V75" s="2">
        <f t="shared" si="55"/>
        <v>0</v>
      </c>
      <c r="W75" s="2">
        <f t="shared" si="55"/>
        <v>0</v>
      </c>
      <c r="X75" s="2">
        <f t="shared" si="55"/>
        <v>444152.41</v>
      </c>
      <c r="Y75" s="2">
        <f t="shared" si="55"/>
        <v>212206.14</v>
      </c>
      <c r="Z75" s="2">
        <f t="shared" si="55"/>
        <v>0</v>
      </c>
      <c r="AA75" s="2">
        <f t="shared" si="55"/>
        <v>0</v>
      </c>
      <c r="AB75" s="2">
        <f t="shared" si="55"/>
        <v>5828917.4</v>
      </c>
      <c r="AC75" s="2">
        <f t="shared" si="55"/>
        <v>5118335.22</v>
      </c>
      <c r="AD75" s="2">
        <f t="shared" si="55"/>
        <v>217079.5</v>
      </c>
      <c r="AE75" s="2">
        <f t="shared" si="55"/>
        <v>103854.25</v>
      </c>
      <c r="AF75" s="2">
        <f t="shared" si="55"/>
        <v>493502.68</v>
      </c>
      <c r="AG75" s="2">
        <f t="shared" si="55"/>
        <v>0</v>
      </c>
      <c r="AH75" s="2">
        <f t="shared" si="55"/>
        <v>1936.5897394699996</v>
      </c>
      <c r="AI75" s="2">
        <f t="shared" si="55"/>
        <v>0</v>
      </c>
      <c r="AJ75" s="2">
        <f t="shared" si="55"/>
        <v>0</v>
      </c>
      <c r="AK75" s="2">
        <f t="shared" si="55"/>
        <v>444152.41</v>
      </c>
      <c r="AL75" s="2">
        <f t="shared" si="55"/>
        <v>212206.14</v>
      </c>
      <c r="AM75" s="2">
        <f t="shared" si="55"/>
        <v>0</v>
      </c>
      <c r="AN75" s="2">
        <f t="shared" si="55"/>
        <v>0</v>
      </c>
      <c r="AO75" s="2">
        <f t="shared" si="55"/>
        <v>0</v>
      </c>
      <c r="AP75" s="2">
        <f t="shared" si="55"/>
        <v>0</v>
      </c>
      <c r="AQ75" s="2">
        <f t="shared" si="55"/>
        <v>0</v>
      </c>
      <c r="AR75" s="2">
        <f t="shared" si="55"/>
        <v>6658712.55</v>
      </c>
      <c r="AS75" s="2">
        <f t="shared" si="55"/>
        <v>4855763.12</v>
      </c>
      <c r="AT75" s="2">
        <f t="shared" si="55"/>
        <v>1802949.43</v>
      </c>
      <c r="AU75" s="2">
        <f aca="true" t="shared" si="56" ref="AU75:BZ75">AU90</f>
        <v>0</v>
      </c>
      <c r="AV75" s="2">
        <f t="shared" si="56"/>
        <v>5118335.22</v>
      </c>
      <c r="AW75" s="2">
        <f t="shared" si="56"/>
        <v>5118335.22</v>
      </c>
      <c r="AX75" s="2">
        <f t="shared" si="56"/>
        <v>0</v>
      </c>
      <c r="AY75" s="2">
        <f t="shared" si="56"/>
        <v>5118335.22</v>
      </c>
      <c r="AZ75" s="2">
        <f t="shared" si="56"/>
        <v>0</v>
      </c>
      <c r="BA75" s="2">
        <f t="shared" si="56"/>
        <v>0</v>
      </c>
      <c r="BB75" s="2">
        <f t="shared" si="56"/>
        <v>0</v>
      </c>
      <c r="BC75" s="2">
        <f t="shared" si="56"/>
        <v>0</v>
      </c>
      <c r="BD75" s="2">
        <f t="shared" si="56"/>
        <v>0</v>
      </c>
      <c r="BE75" s="2">
        <f t="shared" si="56"/>
        <v>6658712.55</v>
      </c>
      <c r="BF75" s="2">
        <f t="shared" si="56"/>
        <v>4855763.12</v>
      </c>
      <c r="BG75" s="2">
        <f t="shared" si="56"/>
        <v>1802949.43</v>
      </c>
      <c r="BH75" s="2">
        <f t="shared" si="56"/>
        <v>0</v>
      </c>
      <c r="BI75" s="2">
        <f t="shared" si="56"/>
        <v>5118335.22</v>
      </c>
      <c r="BJ75" s="2">
        <f t="shared" si="56"/>
        <v>5118335.22</v>
      </c>
      <c r="BK75" s="2">
        <f t="shared" si="56"/>
        <v>0</v>
      </c>
      <c r="BL75" s="2">
        <f t="shared" si="56"/>
        <v>5118335.22</v>
      </c>
      <c r="BM75" s="2">
        <f t="shared" si="56"/>
        <v>0</v>
      </c>
      <c r="BN75" s="2">
        <f t="shared" si="56"/>
        <v>0</v>
      </c>
      <c r="BO75" s="3">
        <f t="shared" si="56"/>
        <v>0</v>
      </c>
      <c r="BP75" s="3">
        <f t="shared" si="56"/>
        <v>0</v>
      </c>
      <c r="BQ75" s="3">
        <f t="shared" si="56"/>
        <v>0</v>
      </c>
      <c r="BR75" s="3">
        <f t="shared" si="56"/>
        <v>0</v>
      </c>
      <c r="BS75" s="3">
        <f t="shared" si="56"/>
        <v>0</v>
      </c>
      <c r="BT75" s="3">
        <f t="shared" si="56"/>
        <v>0</v>
      </c>
      <c r="BU75" s="3">
        <f t="shared" si="56"/>
        <v>0</v>
      </c>
      <c r="BV75" s="3">
        <f t="shared" si="56"/>
        <v>0</v>
      </c>
      <c r="BW75" s="3">
        <f t="shared" si="56"/>
        <v>0</v>
      </c>
      <c r="BX75" s="3">
        <f t="shared" si="56"/>
        <v>0</v>
      </c>
      <c r="BY75" s="3">
        <f t="shared" si="56"/>
        <v>0</v>
      </c>
      <c r="BZ75" s="3">
        <f t="shared" si="56"/>
        <v>0</v>
      </c>
      <c r="CA75" s="3">
        <f aca="true" t="shared" si="57" ref="CA75:DF75">CA90</f>
        <v>0</v>
      </c>
      <c r="CB75" s="3">
        <f t="shared" si="57"/>
        <v>0</v>
      </c>
      <c r="CC75" s="3">
        <f t="shared" si="57"/>
        <v>0</v>
      </c>
      <c r="CD75" s="3">
        <f t="shared" si="57"/>
        <v>0</v>
      </c>
      <c r="CE75" s="3">
        <f t="shared" si="57"/>
        <v>0</v>
      </c>
      <c r="CF75" s="3">
        <f t="shared" si="57"/>
        <v>0</v>
      </c>
      <c r="CG75" s="3">
        <f t="shared" si="57"/>
        <v>0</v>
      </c>
      <c r="CH75" s="3">
        <f t="shared" si="57"/>
        <v>0</v>
      </c>
      <c r="CI75" s="3">
        <f t="shared" si="57"/>
        <v>0</v>
      </c>
      <c r="CJ75" s="3">
        <f t="shared" si="57"/>
        <v>0</v>
      </c>
      <c r="CK75" s="3">
        <f t="shared" si="57"/>
        <v>0</v>
      </c>
      <c r="CL75" s="3">
        <f t="shared" si="57"/>
        <v>0</v>
      </c>
      <c r="CM75" s="3">
        <f t="shared" si="57"/>
        <v>0</v>
      </c>
      <c r="CN75" s="3">
        <f t="shared" si="57"/>
        <v>0</v>
      </c>
      <c r="CO75" s="3">
        <f t="shared" si="57"/>
        <v>0</v>
      </c>
      <c r="CP75" s="3">
        <f t="shared" si="57"/>
        <v>0</v>
      </c>
      <c r="CQ75" s="3">
        <f t="shared" si="57"/>
        <v>0</v>
      </c>
      <c r="CR75" s="3">
        <f t="shared" si="57"/>
        <v>0</v>
      </c>
      <c r="CS75" s="3">
        <f t="shared" si="57"/>
        <v>0</v>
      </c>
      <c r="CT75" s="3">
        <f t="shared" si="57"/>
        <v>0</v>
      </c>
      <c r="CU75" s="3">
        <f t="shared" si="57"/>
        <v>0</v>
      </c>
      <c r="CV75" s="3">
        <f t="shared" si="57"/>
        <v>0</v>
      </c>
      <c r="CW75" s="3">
        <f t="shared" si="57"/>
        <v>0</v>
      </c>
      <c r="CX75" s="3">
        <f t="shared" si="57"/>
        <v>0</v>
      </c>
      <c r="CY75" s="3">
        <f t="shared" si="57"/>
        <v>0</v>
      </c>
      <c r="CZ75" s="3">
        <f t="shared" si="57"/>
        <v>0</v>
      </c>
      <c r="DA75" s="3">
        <f t="shared" si="57"/>
        <v>0</v>
      </c>
      <c r="DB75" s="3">
        <f t="shared" si="57"/>
        <v>0</v>
      </c>
      <c r="DC75" s="3">
        <f t="shared" si="57"/>
        <v>0</v>
      </c>
      <c r="DD75" s="3">
        <f t="shared" si="57"/>
        <v>0</v>
      </c>
      <c r="DE75" s="3">
        <f t="shared" si="57"/>
        <v>0</v>
      </c>
      <c r="DF75" s="3">
        <f t="shared" si="57"/>
        <v>0</v>
      </c>
      <c r="DG75" s="3">
        <f aca="true" t="shared" si="58" ref="DG75:DN75">DG90</f>
        <v>0</v>
      </c>
      <c r="DH75" s="3">
        <f t="shared" si="58"/>
        <v>0</v>
      </c>
      <c r="DI75" s="3">
        <f t="shared" si="58"/>
        <v>0</v>
      </c>
      <c r="DJ75" s="3">
        <f t="shared" si="58"/>
        <v>0</v>
      </c>
      <c r="DK75" s="3">
        <f t="shared" si="58"/>
        <v>0</v>
      </c>
      <c r="DL75" s="3">
        <f t="shared" si="58"/>
        <v>0</v>
      </c>
      <c r="DM75" s="3">
        <f t="shared" si="58"/>
        <v>0</v>
      </c>
      <c r="DN75" s="3">
        <f t="shared" si="58"/>
        <v>0</v>
      </c>
    </row>
    <row r="77" spans="1:206" ht="12.75">
      <c r="A77">
        <v>17</v>
      </c>
      <c r="B77">
        <v>1</v>
      </c>
      <c r="E77" t="s">
        <v>144</v>
      </c>
      <c r="F77" t="s">
        <v>145</v>
      </c>
      <c r="G77" t="s">
        <v>146</v>
      </c>
      <c r="H77" t="s">
        <v>47</v>
      </c>
      <c r="I77">
        <f>ROUND(1551/100,9)</f>
        <v>15.51</v>
      </c>
      <c r="J77">
        <v>0</v>
      </c>
      <c r="O77">
        <f aca="true" t="shared" si="59" ref="O77:O88">ROUND(CP77+GX77,2)</f>
        <v>194748.89</v>
      </c>
      <c r="P77">
        <f aca="true" t="shared" si="60" ref="P77:P88">ROUND(CQ77*I77,2)</f>
        <v>2209.73</v>
      </c>
      <c r="Q77">
        <f aca="true" t="shared" si="61" ref="Q77:Q88">ROUND(CR77*I77,2)</f>
        <v>101585.35</v>
      </c>
      <c r="R77">
        <f aca="true" t="shared" si="62" ref="R77:R88">ROUND(CS77*I77,2)</f>
        <v>45370.14</v>
      </c>
      <c r="S77">
        <f aca="true" t="shared" si="63" ref="S77:S88">ROUND(CT77*I77,2)</f>
        <v>90953.81</v>
      </c>
      <c r="T77">
        <f aca="true" t="shared" si="64" ref="T77:T88">ROUND(CU77*I77,2)</f>
        <v>0</v>
      </c>
      <c r="U77">
        <f aca="true" t="shared" si="65" ref="U77:U88">CV77*I77</f>
        <v>361.5993644999999</v>
      </c>
      <c r="V77">
        <f aca="true" t="shared" si="66" ref="V77:V88">CW77*I77</f>
        <v>0</v>
      </c>
      <c r="W77">
        <f aca="true" t="shared" si="67" ref="W77:W88">ROUND(CX77*I77,2)</f>
        <v>0</v>
      </c>
      <c r="X77">
        <f aca="true" t="shared" si="68" ref="X77:X88">ROUND(CY77,2)</f>
        <v>81858.43</v>
      </c>
      <c r="Y77">
        <f aca="true" t="shared" si="69" ref="Y77:Y88">ROUND(CZ77,2)</f>
        <v>39110.14</v>
      </c>
      <c r="AA77">
        <v>34388368</v>
      </c>
      <c r="AB77">
        <f aca="true" t="shared" si="70" ref="AB77:AB86">ROUND((AC77+AD77+AF77)+GT77,6)</f>
        <v>1056.198</v>
      </c>
      <c r="AC77">
        <f aca="true" t="shared" si="71" ref="AC77:AC88">ROUND((ES77),6)</f>
        <v>25.2</v>
      </c>
      <c r="AD77">
        <f>ROUND(((((ET77*1.15))-((EU77*1.15)))+AE77),6)</f>
        <v>761.5875</v>
      </c>
      <c r="AE77">
        <f aca="true" t="shared" si="72" ref="AE77:AF79">ROUND(((EU77*1.15)),6)</f>
        <v>134.389</v>
      </c>
      <c r="AF77">
        <f t="shared" si="72"/>
        <v>269.4105</v>
      </c>
      <c r="AG77">
        <f aca="true" t="shared" si="73" ref="AG77:AG88">ROUND((AP77),6)</f>
        <v>0</v>
      </c>
      <c r="AH77">
        <f aca="true" t="shared" si="74" ref="AH77:AI79">((EW77*1.15))</f>
        <v>21.849999999999998</v>
      </c>
      <c r="AI77">
        <f t="shared" si="74"/>
        <v>0</v>
      </c>
      <c r="AJ77">
        <f aca="true" t="shared" si="75" ref="AJ77:AJ88">ROUND((AS77),6)</f>
        <v>0</v>
      </c>
      <c r="AK77">
        <v>921.72</v>
      </c>
      <c r="AL77">
        <v>25.2</v>
      </c>
      <c r="AM77">
        <v>662.25</v>
      </c>
      <c r="AN77">
        <v>116.86</v>
      </c>
      <c r="AO77">
        <v>234.27</v>
      </c>
      <c r="AP77">
        <v>0</v>
      </c>
      <c r="AQ77">
        <v>19</v>
      </c>
      <c r="AR77">
        <v>0</v>
      </c>
      <c r="AS77">
        <v>0</v>
      </c>
      <c r="AT77">
        <v>90</v>
      </c>
      <c r="AU77">
        <v>43</v>
      </c>
      <c r="AV77">
        <v>1.067</v>
      </c>
      <c r="AW77">
        <v>1.081</v>
      </c>
      <c r="AZ77">
        <v>1</v>
      </c>
      <c r="BA77">
        <v>20.4</v>
      </c>
      <c r="BB77">
        <v>8.06</v>
      </c>
      <c r="BC77">
        <v>5.23</v>
      </c>
      <c r="BH77">
        <v>0</v>
      </c>
      <c r="BI77">
        <v>2</v>
      </c>
      <c r="BJ77" t="s">
        <v>147</v>
      </c>
      <c r="BM77">
        <v>318</v>
      </c>
      <c r="BN77">
        <v>0</v>
      </c>
      <c r="BO77" t="s">
        <v>145</v>
      </c>
      <c r="BP77">
        <v>1</v>
      </c>
      <c r="BQ77">
        <v>40</v>
      </c>
      <c r="BR77">
        <v>0</v>
      </c>
      <c r="BS77">
        <v>20.4</v>
      </c>
      <c r="BT77">
        <v>1</v>
      </c>
      <c r="BU77">
        <v>1</v>
      </c>
      <c r="BV77">
        <v>1</v>
      </c>
      <c r="BW77">
        <v>1</v>
      </c>
      <c r="BX77">
        <v>1</v>
      </c>
      <c r="BZ77">
        <v>90</v>
      </c>
      <c r="CA77">
        <v>43</v>
      </c>
      <c r="CF77">
        <v>0</v>
      </c>
      <c r="CG77">
        <v>0</v>
      </c>
      <c r="CM77">
        <v>0</v>
      </c>
      <c r="CN77" t="s">
        <v>521</v>
      </c>
      <c r="CO77">
        <v>0</v>
      </c>
      <c r="CP77">
        <f aca="true" t="shared" si="76" ref="CP77:CP88">(P77+Q77+S77)</f>
        <v>194748.89</v>
      </c>
      <c r="CQ77">
        <f aca="true" t="shared" si="77" ref="CQ77:CQ88">(AC77*BC77*AW77)</f>
        <v>142.47147600000002</v>
      </c>
      <c r="CR77">
        <f>(((((ET77*1.15))*BB77-((EU77*1.15))*BS77)+AE77*BS77)*AV77)</f>
        <v>6549.667731750002</v>
      </c>
      <c r="CS77">
        <f aca="true" t="shared" si="78" ref="CS77:CS88">(AE77*BS77*AV77)</f>
        <v>2925.2184852</v>
      </c>
      <c r="CT77">
        <f aca="true" t="shared" si="79" ref="CT77:CT88">(AF77*BA77*AV77)</f>
        <v>5864.204471399999</v>
      </c>
      <c r="CU77">
        <f aca="true" t="shared" si="80" ref="CU77:CU88">AG77</f>
        <v>0</v>
      </c>
      <c r="CV77">
        <f aca="true" t="shared" si="81" ref="CV77:CV88">(AH77*AV77)</f>
        <v>23.313949999999995</v>
      </c>
      <c r="CW77">
        <f aca="true" t="shared" si="82" ref="CW77:CW88">AI77</f>
        <v>0</v>
      </c>
      <c r="CX77">
        <f aca="true" t="shared" si="83" ref="CX77:CX88">AJ77</f>
        <v>0</v>
      </c>
      <c r="CY77">
        <f aca="true" t="shared" si="84" ref="CY77:CY88">S77*(BZ77/100)</f>
        <v>81858.429</v>
      </c>
      <c r="CZ77">
        <f aca="true" t="shared" si="85" ref="CZ77:CZ88">S77*(CA77/100)</f>
        <v>39110.1383</v>
      </c>
      <c r="DE77" t="s">
        <v>27</v>
      </c>
      <c r="DF77" t="s">
        <v>27</v>
      </c>
      <c r="DG77" t="s">
        <v>27</v>
      </c>
      <c r="DI77" t="s">
        <v>27</v>
      </c>
      <c r="DJ77" t="s">
        <v>27</v>
      </c>
      <c r="DN77">
        <v>112</v>
      </c>
      <c r="DO77">
        <v>70</v>
      </c>
      <c r="DP77">
        <v>1.067</v>
      </c>
      <c r="DQ77">
        <v>1.081</v>
      </c>
      <c r="DU77">
        <v>1003</v>
      </c>
      <c r="DV77" t="s">
        <v>47</v>
      </c>
      <c r="DW77" t="s">
        <v>47</v>
      </c>
      <c r="DX77">
        <v>100</v>
      </c>
      <c r="EE77">
        <v>34317733</v>
      </c>
      <c r="EF77">
        <v>40</v>
      </c>
      <c r="EG77" t="s">
        <v>49</v>
      </c>
      <c r="EH77">
        <v>0</v>
      </c>
      <c r="EJ77">
        <v>2</v>
      </c>
      <c r="EK77">
        <v>318</v>
      </c>
      <c r="EL77" t="s">
        <v>50</v>
      </c>
      <c r="EM77" t="s">
        <v>51</v>
      </c>
      <c r="EO77" t="s">
        <v>52</v>
      </c>
      <c r="EQ77">
        <v>0</v>
      </c>
      <c r="ER77">
        <v>921.72</v>
      </c>
      <c r="ES77">
        <v>25.2</v>
      </c>
      <c r="ET77">
        <v>662.25</v>
      </c>
      <c r="EU77">
        <v>116.86</v>
      </c>
      <c r="EV77">
        <v>234.27</v>
      </c>
      <c r="EW77">
        <v>19</v>
      </c>
      <c r="EX77">
        <v>0</v>
      </c>
      <c r="EY77">
        <v>0</v>
      </c>
      <c r="FQ77">
        <v>0</v>
      </c>
      <c r="FR77">
        <f aca="true" t="shared" si="86" ref="FR77:FR88">ROUND(IF(AND(BH77=3,BI77=3),P77,0),2)</f>
        <v>0</v>
      </c>
      <c r="FS77">
        <v>0</v>
      </c>
      <c r="FX77">
        <v>112</v>
      </c>
      <c r="FY77">
        <v>70</v>
      </c>
      <c r="GD77">
        <v>0</v>
      </c>
      <c r="GF77">
        <v>953536639</v>
      </c>
      <c r="GG77">
        <v>2</v>
      </c>
      <c r="GH77">
        <v>1</v>
      </c>
      <c r="GI77">
        <v>2</v>
      </c>
      <c r="GJ77">
        <v>0</v>
      </c>
      <c r="GK77">
        <f>ROUND(R77*(R12)/100,2)</f>
        <v>75768.13</v>
      </c>
      <c r="GL77">
        <f aca="true" t="shared" si="87" ref="GL77:GL88">ROUND(IF(AND(BH77=3,BI77=3,FS77&lt;&gt;0),P77,0),2)</f>
        <v>0</v>
      </c>
      <c r="GM77">
        <f aca="true" t="shared" si="88" ref="GM77:GM88">O77+X77+Y77+GK77</f>
        <v>391485.59</v>
      </c>
      <c r="GN77">
        <f aca="true" t="shared" si="89" ref="GN77:GN88">ROUND(IF(OR(BI77=0,BI77=1),O77+X77+Y77+GK77-GX77,0),2)</f>
        <v>0</v>
      </c>
      <c r="GO77">
        <f aca="true" t="shared" si="90" ref="GO77:GO88">ROUND(IF(BI77=2,O77+X77+Y77+GK77-GX77,0),2)</f>
        <v>391485.59</v>
      </c>
      <c r="GP77">
        <f aca="true" t="shared" si="91" ref="GP77:GP88">ROUND(IF(BI77=4,O77+X77+Y77+GK77,GX77),2)</f>
        <v>0</v>
      </c>
      <c r="GT77">
        <v>0</v>
      </c>
      <c r="GU77">
        <v>1</v>
      </c>
      <c r="GV77">
        <v>0</v>
      </c>
      <c r="GW77">
        <v>0</v>
      </c>
      <c r="GX77">
        <f aca="true" t="shared" si="92" ref="GX77:GX88">ROUND(GT77*GU77*I77,2)</f>
        <v>0</v>
      </c>
    </row>
    <row r="78" spans="1:206" ht="12.75">
      <c r="A78">
        <v>17</v>
      </c>
      <c r="B78">
        <v>1</v>
      </c>
      <c r="E78" t="s">
        <v>148</v>
      </c>
      <c r="F78" t="s">
        <v>149</v>
      </c>
      <c r="G78" t="s">
        <v>150</v>
      </c>
      <c r="H78" t="s">
        <v>47</v>
      </c>
      <c r="I78">
        <f>ROUND(3024/100,9)</f>
        <v>30.24</v>
      </c>
      <c r="J78">
        <v>0</v>
      </c>
      <c r="O78">
        <f t="shared" si="59"/>
        <v>381091.18</v>
      </c>
      <c r="P78">
        <f t="shared" si="60"/>
        <v>6342.83</v>
      </c>
      <c r="Q78">
        <f t="shared" si="61"/>
        <v>78882.09</v>
      </c>
      <c r="R78">
        <f t="shared" si="62"/>
        <v>41708.62</v>
      </c>
      <c r="S78">
        <f t="shared" si="63"/>
        <v>295866.26</v>
      </c>
      <c r="T78">
        <f t="shared" si="64"/>
        <v>0</v>
      </c>
      <c r="U78">
        <f t="shared" si="65"/>
        <v>1176.2599463999998</v>
      </c>
      <c r="V78">
        <f t="shared" si="66"/>
        <v>0</v>
      </c>
      <c r="W78">
        <f t="shared" si="67"/>
        <v>0</v>
      </c>
      <c r="X78">
        <f t="shared" si="68"/>
        <v>266279.63</v>
      </c>
      <c r="Y78">
        <f t="shared" si="69"/>
        <v>127222.49</v>
      </c>
      <c r="AA78">
        <v>34388368</v>
      </c>
      <c r="AB78">
        <f t="shared" si="70"/>
        <v>762.8305</v>
      </c>
      <c r="AC78">
        <f t="shared" si="71"/>
        <v>37.1</v>
      </c>
      <c r="AD78">
        <f>ROUND(((((ET78*1.15))-((EU78*1.15)))+AE78),6)</f>
        <v>276.2415</v>
      </c>
      <c r="AE78">
        <f t="shared" si="72"/>
        <v>63.365</v>
      </c>
      <c r="AF78">
        <f t="shared" si="72"/>
        <v>449.489</v>
      </c>
      <c r="AG78">
        <f t="shared" si="73"/>
        <v>0</v>
      </c>
      <c r="AH78">
        <f t="shared" si="74"/>
        <v>36.455</v>
      </c>
      <c r="AI78">
        <f t="shared" si="74"/>
        <v>0</v>
      </c>
      <c r="AJ78">
        <f t="shared" si="75"/>
        <v>0</v>
      </c>
      <c r="AK78">
        <v>668.17</v>
      </c>
      <c r="AL78">
        <v>37.1</v>
      </c>
      <c r="AM78">
        <v>240.21</v>
      </c>
      <c r="AN78">
        <v>55.1</v>
      </c>
      <c r="AO78">
        <v>390.86</v>
      </c>
      <c r="AP78">
        <v>0</v>
      </c>
      <c r="AQ78">
        <v>31.7</v>
      </c>
      <c r="AR78">
        <v>0</v>
      </c>
      <c r="AS78">
        <v>0</v>
      </c>
      <c r="AT78">
        <v>90</v>
      </c>
      <c r="AU78">
        <v>43</v>
      </c>
      <c r="AV78">
        <v>1.067</v>
      </c>
      <c r="AW78">
        <v>1.081</v>
      </c>
      <c r="AZ78">
        <v>1</v>
      </c>
      <c r="BA78">
        <v>20.4</v>
      </c>
      <c r="BB78">
        <v>8.85</v>
      </c>
      <c r="BC78">
        <v>5.23</v>
      </c>
      <c r="BH78">
        <v>0</v>
      </c>
      <c r="BI78">
        <v>2</v>
      </c>
      <c r="BJ78" t="s">
        <v>151</v>
      </c>
      <c r="BM78">
        <v>318</v>
      </c>
      <c r="BN78">
        <v>0</v>
      </c>
      <c r="BO78" t="s">
        <v>149</v>
      </c>
      <c r="BP78">
        <v>1</v>
      </c>
      <c r="BQ78">
        <v>40</v>
      </c>
      <c r="BR78">
        <v>0</v>
      </c>
      <c r="BS78">
        <v>20.4</v>
      </c>
      <c r="BT78">
        <v>1</v>
      </c>
      <c r="BU78">
        <v>1</v>
      </c>
      <c r="BV78">
        <v>1</v>
      </c>
      <c r="BW78">
        <v>1</v>
      </c>
      <c r="BX78">
        <v>1</v>
      </c>
      <c r="BZ78">
        <v>90</v>
      </c>
      <c r="CA78">
        <v>43</v>
      </c>
      <c r="CF78">
        <v>0</v>
      </c>
      <c r="CG78">
        <v>0</v>
      </c>
      <c r="CM78">
        <v>0</v>
      </c>
      <c r="CN78" t="s">
        <v>521</v>
      </c>
      <c r="CO78">
        <v>0</v>
      </c>
      <c r="CP78">
        <f t="shared" si="76"/>
        <v>381091.18</v>
      </c>
      <c r="CQ78">
        <f t="shared" si="77"/>
        <v>209.749673</v>
      </c>
      <c r="CR78">
        <f>(((((ET78*1.15))*BB78-((EU78*1.15))*BS78)+AE78*BS78)*AV78)</f>
        <v>2608.5346724249994</v>
      </c>
      <c r="CS78">
        <f t="shared" si="78"/>
        <v>1379.253282</v>
      </c>
      <c r="CT78">
        <f t="shared" si="79"/>
        <v>9783.937165199997</v>
      </c>
      <c r="CU78">
        <f t="shared" si="80"/>
        <v>0</v>
      </c>
      <c r="CV78">
        <f t="shared" si="81"/>
        <v>38.897484999999996</v>
      </c>
      <c r="CW78">
        <f t="shared" si="82"/>
        <v>0</v>
      </c>
      <c r="CX78">
        <f t="shared" si="83"/>
        <v>0</v>
      </c>
      <c r="CY78">
        <f t="shared" si="84"/>
        <v>266279.634</v>
      </c>
      <c r="CZ78">
        <f t="shared" si="85"/>
        <v>127222.4918</v>
      </c>
      <c r="DE78" t="s">
        <v>27</v>
      </c>
      <c r="DF78" t="s">
        <v>27</v>
      </c>
      <c r="DG78" t="s">
        <v>27</v>
      </c>
      <c r="DI78" t="s">
        <v>27</v>
      </c>
      <c r="DJ78" t="s">
        <v>27</v>
      </c>
      <c r="DN78">
        <v>112</v>
      </c>
      <c r="DO78">
        <v>70</v>
      </c>
      <c r="DP78">
        <v>1.067</v>
      </c>
      <c r="DQ78">
        <v>1.081</v>
      </c>
      <c r="DU78">
        <v>1003</v>
      </c>
      <c r="DV78" t="s">
        <v>47</v>
      </c>
      <c r="DW78" t="s">
        <v>47</v>
      </c>
      <c r="DX78">
        <v>100</v>
      </c>
      <c r="EE78">
        <v>34317733</v>
      </c>
      <c r="EF78">
        <v>40</v>
      </c>
      <c r="EG78" t="s">
        <v>49</v>
      </c>
      <c r="EH78">
        <v>0</v>
      </c>
      <c r="EJ78">
        <v>2</v>
      </c>
      <c r="EK78">
        <v>318</v>
      </c>
      <c r="EL78" t="s">
        <v>50</v>
      </c>
      <c r="EM78" t="s">
        <v>51</v>
      </c>
      <c r="EO78" t="s">
        <v>52</v>
      </c>
      <c r="EQ78">
        <v>0</v>
      </c>
      <c r="ER78">
        <v>668.17</v>
      </c>
      <c r="ES78">
        <v>37.1</v>
      </c>
      <c r="ET78">
        <v>240.21</v>
      </c>
      <c r="EU78">
        <v>55.1</v>
      </c>
      <c r="EV78">
        <v>390.86</v>
      </c>
      <c r="EW78">
        <v>31.7</v>
      </c>
      <c r="EX78">
        <v>0</v>
      </c>
      <c r="EY78">
        <v>0</v>
      </c>
      <c r="FQ78">
        <v>0</v>
      </c>
      <c r="FR78">
        <f t="shared" si="86"/>
        <v>0</v>
      </c>
      <c r="FS78">
        <v>0</v>
      </c>
      <c r="FX78">
        <v>112</v>
      </c>
      <c r="FY78">
        <v>70</v>
      </c>
      <c r="GD78">
        <v>0</v>
      </c>
      <c r="GF78">
        <v>1306798462</v>
      </c>
      <c r="GG78">
        <v>2</v>
      </c>
      <c r="GH78">
        <v>1</v>
      </c>
      <c r="GI78">
        <v>2</v>
      </c>
      <c r="GJ78">
        <v>0</v>
      </c>
      <c r="GK78">
        <f>ROUND(R78*(R12)/100,2)</f>
        <v>69653.4</v>
      </c>
      <c r="GL78">
        <f t="shared" si="87"/>
        <v>0</v>
      </c>
      <c r="GM78">
        <f t="shared" si="88"/>
        <v>844246.7000000001</v>
      </c>
      <c r="GN78">
        <f t="shared" si="89"/>
        <v>0</v>
      </c>
      <c r="GO78">
        <f t="shared" si="90"/>
        <v>844246.7</v>
      </c>
      <c r="GP78">
        <f t="shared" si="91"/>
        <v>0</v>
      </c>
      <c r="GT78">
        <v>0</v>
      </c>
      <c r="GU78">
        <v>1</v>
      </c>
      <c r="GV78">
        <v>0</v>
      </c>
      <c r="GW78">
        <v>0</v>
      </c>
      <c r="GX78">
        <f t="shared" si="92"/>
        <v>0</v>
      </c>
    </row>
    <row r="79" spans="1:206" ht="12.75">
      <c r="A79">
        <v>17</v>
      </c>
      <c r="B79">
        <v>1</v>
      </c>
      <c r="E79" t="s">
        <v>152</v>
      </c>
      <c r="F79" t="s">
        <v>153</v>
      </c>
      <c r="G79" t="s">
        <v>154</v>
      </c>
      <c r="H79" t="s">
        <v>47</v>
      </c>
      <c r="I79">
        <f>ROUND(45/100,9)</f>
        <v>0.45</v>
      </c>
      <c r="J79">
        <v>0</v>
      </c>
      <c r="O79">
        <f t="shared" si="59"/>
        <v>11296.4</v>
      </c>
      <c r="P79">
        <f t="shared" si="60"/>
        <v>103.29</v>
      </c>
      <c r="Q79">
        <f t="shared" si="61"/>
        <v>5304.24</v>
      </c>
      <c r="R79">
        <f t="shared" si="62"/>
        <v>2243.4</v>
      </c>
      <c r="S79">
        <f t="shared" si="63"/>
        <v>5888.87</v>
      </c>
      <c r="T79">
        <f t="shared" si="64"/>
        <v>0</v>
      </c>
      <c r="U79">
        <f t="shared" si="65"/>
        <v>23.412114</v>
      </c>
      <c r="V79">
        <f t="shared" si="66"/>
        <v>0</v>
      </c>
      <c r="W79">
        <f t="shared" si="67"/>
        <v>0</v>
      </c>
      <c r="X79">
        <f t="shared" si="68"/>
        <v>5299.98</v>
      </c>
      <c r="Y79">
        <f t="shared" si="69"/>
        <v>2532.21</v>
      </c>
      <c r="AA79">
        <v>34388368</v>
      </c>
      <c r="AB79">
        <f t="shared" si="70"/>
        <v>2049.075</v>
      </c>
      <c r="AC79">
        <f t="shared" si="71"/>
        <v>40.6</v>
      </c>
      <c r="AD79">
        <f>ROUND(((((ET79*1.15))-((EU79*1.15)))+AE79),6)</f>
        <v>1407.2665</v>
      </c>
      <c r="AE79">
        <f t="shared" si="72"/>
        <v>229.034</v>
      </c>
      <c r="AF79">
        <f t="shared" si="72"/>
        <v>601.2085</v>
      </c>
      <c r="AG79">
        <f t="shared" si="73"/>
        <v>0</v>
      </c>
      <c r="AH79">
        <f t="shared" si="74"/>
        <v>48.76</v>
      </c>
      <c r="AI79">
        <f t="shared" si="74"/>
        <v>0</v>
      </c>
      <c r="AJ79">
        <f t="shared" si="75"/>
        <v>0</v>
      </c>
      <c r="AK79">
        <v>1787.1</v>
      </c>
      <c r="AL79">
        <v>40.6</v>
      </c>
      <c r="AM79">
        <v>1223.71</v>
      </c>
      <c r="AN79">
        <v>199.16</v>
      </c>
      <c r="AO79">
        <v>522.79</v>
      </c>
      <c r="AP79">
        <v>0</v>
      </c>
      <c r="AQ79">
        <v>42.4</v>
      </c>
      <c r="AR79">
        <v>0</v>
      </c>
      <c r="AS79">
        <v>0</v>
      </c>
      <c r="AT79">
        <v>90</v>
      </c>
      <c r="AU79">
        <v>43</v>
      </c>
      <c r="AV79">
        <v>1.067</v>
      </c>
      <c r="AW79">
        <v>1.081</v>
      </c>
      <c r="AZ79">
        <v>1</v>
      </c>
      <c r="BA79">
        <v>20.4</v>
      </c>
      <c r="BB79">
        <v>7.85</v>
      </c>
      <c r="BC79">
        <v>5.23</v>
      </c>
      <c r="BH79">
        <v>0</v>
      </c>
      <c r="BI79">
        <v>2</v>
      </c>
      <c r="BJ79" t="s">
        <v>155</v>
      </c>
      <c r="BM79">
        <v>318</v>
      </c>
      <c r="BN79">
        <v>0</v>
      </c>
      <c r="BO79" t="s">
        <v>153</v>
      </c>
      <c r="BP79">
        <v>1</v>
      </c>
      <c r="BQ79">
        <v>40</v>
      </c>
      <c r="BR79">
        <v>0</v>
      </c>
      <c r="BS79">
        <v>20.4</v>
      </c>
      <c r="BT79">
        <v>1</v>
      </c>
      <c r="BU79">
        <v>1</v>
      </c>
      <c r="BV79">
        <v>1</v>
      </c>
      <c r="BW79">
        <v>1</v>
      </c>
      <c r="BX79">
        <v>1</v>
      </c>
      <c r="BZ79">
        <v>90</v>
      </c>
      <c r="CA79">
        <v>43</v>
      </c>
      <c r="CF79">
        <v>0</v>
      </c>
      <c r="CG79">
        <v>0</v>
      </c>
      <c r="CM79">
        <v>0</v>
      </c>
      <c r="CN79" t="s">
        <v>521</v>
      </c>
      <c r="CO79">
        <v>0</v>
      </c>
      <c r="CP79">
        <f t="shared" si="76"/>
        <v>11296.4</v>
      </c>
      <c r="CQ79">
        <f t="shared" si="77"/>
        <v>229.53737800000002</v>
      </c>
      <c r="CR79">
        <f>(((((ET79*1.15))*BB79-((EU79*1.15))*BS79)+AE79*BS79)*AV79)</f>
        <v>11787.193840674998</v>
      </c>
      <c r="CS79">
        <f t="shared" si="78"/>
        <v>4985.337271199999</v>
      </c>
      <c r="CT79">
        <f t="shared" si="79"/>
        <v>13086.385177799997</v>
      </c>
      <c r="CU79">
        <f t="shared" si="80"/>
        <v>0</v>
      </c>
      <c r="CV79">
        <f t="shared" si="81"/>
        <v>52.02692</v>
      </c>
      <c r="CW79">
        <f t="shared" si="82"/>
        <v>0</v>
      </c>
      <c r="CX79">
        <f t="shared" si="83"/>
        <v>0</v>
      </c>
      <c r="CY79">
        <f t="shared" si="84"/>
        <v>5299.983</v>
      </c>
      <c r="CZ79">
        <f t="shared" si="85"/>
        <v>2532.2140999999997</v>
      </c>
      <c r="DE79" t="s">
        <v>27</v>
      </c>
      <c r="DF79" t="s">
        <v>27</v>
      </c>
      <c r="DG79" t="s">
        <v>27</v>
      </c>
      <c r="DI79" t="s">
        <v>27</v>
      </c>
      <c r="DJ79" t="s">
        <v>27</v>
      </c>
      <c r="DN79">
        <v>112</v>
      </c>
      <c r="DO79">
        <v>70</v>
      </c>
      <c r="DP79">
        <v>1.067</v>
      </c>
      <c r="DQ79">
        <v>1.081</v>
      </c>
      <c r="DU79">
        <v>1003</v>
      </c>
      <c r="DV79" t="s">
        <v>47</v>
      </c>
      <c r="DW79" t="s">
        <v>47</v>
      </c>
      <c r="DX79">
        <v>100</v>
      </c>
      <c r="EE79">
        <v>34317733</v>
      </c>
      <c r="EF79">
        <v>40</v>
      </c>
      <c r="EG79" t="s">
        <v>49</v>
      </c>
      <c r="EH79">
        <v>0</v>
      </c>
      <c r="EJ79">
        <v>2</v>
      </c>
      <c r="EK79">
        <v>318</v>
      </c>
      <c r="EL79" t="s">
        <v>50</v>
      </c>
      <c r="EM79" t="s">
        <v>51</v>
      </c>
      <c r="EO79" t="s">
        <v>52</v>
      </c>
      <c r="EQ79">
        <v>0</v>
      </c>
      <c r="ER79">
        <v>1787.1</v>
      </c>
      <c r="ES79">
        <v>40.6</v>
      </c>
      <c r="ET79">
        <v>1223.71</v>
      </c>
      <c r="EU79">
        <v>199.16</v>
      </c>
      <c r="EV79">
        <v>522.79</v>
      </c>
      <c r="EW79">
        <v>42.4</v>
      </c>
      <c r="EX79">
        <v>0</v>
      </c>
      <c r="EY79">
        <v>0</v>
      </c>
      <c r="FQ79">
        <v>0</v>
      </c>
      <c r="FR79">
        <f t="shared" si="86"/>
        <v>0</v>
      </c>
      <c r="FS79">
        <v>0</v>
      </c>
      <c r="FX79">
        <v>112</v>
      </c>
      <c r="FY79">
        <v>70</v>
      </c>
      <c r="GD79">
        <v>0</v>
      </c>
      <c r="GF79">
        <v>552761603</v>
      </c>
      <c r="GG79">
        <v>2</v>
      </c>
      <c r="GH79">
        <v>1</v>
      </c>
      <c r="GI79">
        <v>2</v>
      </c>
      <c r="GJ79">
        <v>0</v>
      </c>
      <c r="GK79">
        <f>ROUND(R79*(R12)/100,2)</f>
        <v>3746.48</v>
      </c>
      <c r="GL79">
        <f t="shared" si="87"/>
        <v>0</v>
      </c>
      <c r="GM79">
        <f t="shared" si="88"/>
        <v>22875.069999999996</v>
      </c>
      <c r="GN79">
        <f t="shared" si="89"/>
        <v>0</v>
      </c>
      <c r="GO79">
        <f t="shared" si="90"/>
        <v>22875.07</v>
      </c>
      <c r="GP79">
        <f t="shared" si="91"/>
        <v>0</v>
      </c>
      <c r="GT79">
        <v>0</v>
      </c>
      <c r="GU79">
        <v>1</v>
      </c>
      <c r="GV79">
        <v>0</v>
      </c>
      <c r="GW79">
        <v>0</v>
      </c>
      <c r="GX79">
        <f t="shared" si="92"/>
        <v>0</v>
      </c>
    </row>
    <row r="80" spans="1:206" ht="12.75">
      <c r="A80">
        <v>17</v>
      </c>
      <c r="B80">
        <v>1</v>
      </c>
      <c r="E80" t="s">
        <v>156</v>
      </c>
      <c r="F80" t="s">
        <v>62</v>
      </c>
      <c r="G80" t="s">
        <v>157</v>
      </c>
      <c r="H80" t="s">
        <v>158</v>
      </c>
      <c r="I80">
        <v>4712</v>
      </c>
      <c r="J80">
        <v>0</v>
      </c>
      <c r="O80">
        <f t="shared" si="59"/>
        <v>4855763.12</v>
      </c>
      <c r="P80">
        <f t="shared" si="60"/>
        <v>4855763.12</v>
      </c>
      <c r="Q80">
        <f t="shared" si="61"/>
        <v>0</v>
      </c>
      <c r="R80">
        <f t="shared" si="62"/>
        <v>0</v>
      </c>
      <c r="S80">
        <f t="shared" si="63"/>
        <v>0</v>
      </c>
      <c r="T80">
        <f t="shared" si="64"/>
        <v>0</v>
      </c>
      <c r="U80">
        <f t="shared" si="65"/>
        <v>0</v>
      </c>
      <c r="V80">
        <f t="shared" si="66"/>
        <v>0</v>
      </c>
      <c r="W80">
        <f t="shared" si="67"/>
        <v>0</v>
      </c>
      <c r="X80">
        <f t="shared" si="68"/>
        <v>0</v>
      </c>
      <c r="Y80">
        <f t="shared" si="69"/>
        <v>0</v>
      </c>
      <c r="AA80">
        <v>34388368</v>
      </c>
      <c r="AB80">
        <f t="shared" si="70"/>
        <v>1030.51</v>
      </c>
      <c r="AC80">
        <f t="shared" si="71"/>
        <v>1030.51</v>
      </c>
      <c r="AD80">
        <f>ROUND((((ET80)-(EU80))+AE80),6)</f>
        <v>0</v>
      </c>
      <c r="AE80">
        <f>ROUND((EU80),6)</f>
        <v>0</v>
      </c>
      <c r="AF80">
        <f>ROUND((EV80),6)</f>
        <v>0</v>
      </c>
      <c r="AG80">
        <f t="shared" si="73"/>
        <v>0</v>
      </c>
      <c r="AH80">
        <f>(EW80)</f>
        <v>0</v>
      </c>
      <c r="AI80">
        <f>(EX80)</f>
        <v>0</v>
      </c>
      <c r="AJ80">
        <f t="shared" si="75"/>
        <v>0</v>
      </c>
      <c r="AK80">
        <v>1030.51</v>
      </c>
      <c r="AL80">
        <v>1030.51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1</v>
      </c>
      <c r="AW80">
        <v>1</v>
      </c>
      <c r="AZ80">
        <v>1</v>
      </c>
      <c r="BA80">
        <v>1</v>
      </c>
      <c r="BB80">
        <v>1</v>
      </c>
      <c r="BC80">
        <v>1</v>
      </c>
      <c r="BH80">
        <v>3</v>
      </c>
      <c r="BI80">
        <v>1</v>
      </c>
      <c r="BM80">
        <v>400002</v>
      </c>
      <c r="BN80">
        <v>0</v>
      </c>
      <c r="BP80">
        <v>0</v>
      </c>
      <c r="BQ80">
        <v>202</v>
      </c>
      <c r="BR80">
        <v>0</v>
      </c>
      <c r="BS80">
        <v>1</v>
      </c>
      <c r="BT80">
        <v>1</v>
      </c>
      <c r="BU80">
        <v>1</v>
      </c>
      <c r="BV80">
        <v>1</v>
      </c>
      <c r="BW80">
        <v>1</v>
      </c>
      <c r="BX80">
        <v>1</v>
      </c>
      <c r="BZ80">
        <v>0</v>
      </c>
      <c r="CA80">
        <v>0</v>
      </c>
      <c r="CF80">
        <v>0</v>
      </c>
      <c r="CG80">
        <v>0</v>
      </c>
      <c r="CM80">
        <v>0</v>
      </c>
      <c r="CO80">
        <v>0</v>
      </c>
      <c r="CP80">
        <f t="shared" si="76"/>
        <v>4855763.12</v>
      </c>
      <c r="CQ80">
        <f t="shared" si="77"/>
        <v>1030.51</v>
      </c>
      <c r="CR80">
        <f>((((ET80)*BB80-(EU80)*BS80)+AE80*BS80)*AV80)</f>
        <v>0</v>
      </c>
      <c r="CS80">
        <f t="shared" si="78"/>
        <v>0</v>
      </c>
      <c r="CT80">
        <f t="shared" si="79"/>
        <v>0</v>
      </c>
      <c r="CU80">
        <f t="shared" si="80"/>
        <v>0</v>
      </c>
      <c r="CV80">
        <f t="shared" si="81"/>
        <v>0</v>
      </c>
      <c r="CW80">
        <f t="shared" si="82"/>
        <v>0</v>
      </c>
      <c r="CX80">
        <f t="shared" si="83"/>
        <v>0</v>
      </c>
      <c r="CY80">
        <f t="shared" si="84"/>
        <v>0</v>
      </c>
      <c r="CZ80">
        <f t="shared" si="85"/>
        <v>0</v>
      </c>
      <c r="DN80">
        <v>0</v>
      </c>
      <c r="DO80">
        <v>0</v>
      </c>
      <c r="DP80">
        <v>1</v>
      </c>
      <c r="DQ80">
        <v>1</v>
      </c>
      <c r="DU80">
        <v>1003</v>
      </c>
      <c r="DV80" t="s">
        <v>158</v>
      </c>
      <c r="DW80" t="s">
        <v>158</v>
      </c>
      <c r="DX80">
        <v>1</v>
      </c>
      <c r="EE80">
        <v>34319439</v>
      </c>
      <c r="EF80">
        <v>202</v>
      </c>
      <c r="EG80" t="s">
        <v>159</v>
      </c>
      <c r="EH80">
        <v>0</v>
      </c>
      <c r="EJ80">
        <v>1</v>
      </c>
      <c r="EK80">
        <v>400002</v>
      </c>
      <c r="EL80" t="s">
        <v>160</v>
      </c>
      <c r="EM80" t="s">
        <v>159</v>
      </c>
      <c r="EQ80">
        <v>0</v>
      </c>
      <c r="ER80">
        <v>1030.51</v>
      </c>
      <c r="ES80">
        <v>1030.51</v>
      </c>
      <c r="ET80">
        <v>0</v>
      </c>
      <c r="EU80">
        <v>0</v>
      </c>
      <c r="EV80">
        <v>0</v>
      </c>
      <c r="EW80">
        <v>0</v>
      </c>
      <c r="EX80">
        <v>0</v>
      </c>
      <c r="EY80">
        <v>0</v>
      </c>
      <c r="EZ80">
        <v>5</v>
      </c>
      <c r="FC80">
        <v>1</v>
      </c>
      <c r="FD80">
        <v>18</v>
      </c>
      <c r="FF80">
        <v>1216</v>
      </c>
      <c r="FQ80">
        <v>0</v>
      </c>
      <c r="FR80">
        <f t="shared" si="86"/>
        <v>0</v>
      </c>
      <c r="FS80">
        <v>0</v>
      </c>
      <c r="FX80">
        <v>0</v>
      </c>
      <c r="FY80">
        <v>0</v>
      </c>
      <c r="GA80" t="s">
        <v>161</v>
      </c>
      <c r="GD80">
        <v>0</v>
      </c>
      <c r="GF80">
        <v>135830220</v>
      </c>
      <c r="GG80">
        <v>2</v>
      </c>
      <c r="GH80">
        <v>3</v>
      </c>
      <c r="GI80">
        <v>-2</v>
      </c>
      <c r="GJ80">
        <v>0</v>
      </c>
      <c r="GK80">
        <f>ROUND(R80*(R12)/100,2)</f>
        <v>0</v>
      </c>
      <c r="GL80">
        <f t="shared" si="87"/>
        <v>0</v>
      </c>
      <c r="GM80">
        <f t="shared" si="88"/>
        <v>4855763.12</v>
      </c>
      <c r="GN80">
        <f t="shared" si="89"/>
        <v>4855763.12</v>
      </c>
      <c r="GO80">
        <f t="shared" si="90"/>
        <v>0</v>
      </c>
      <c r="GP80">
        <f t="shared" si="91"/>
        <v>0</v>
      </c>
      <c r="GT80">
        <v>0</v>
      </c>
      <c r="GU80">
        <v>1</v>
      </c>
      <c r="GV80">
        <v>0</v>
      </c>
      <c r="GW80">
        <v>0</v>
      </c>
      <c r="GX80">
        <f t="shared" si="92"/>
        <v>0</v>
      </c>
    </row>
    <row r="81" spans="1:206" ht="12.75">
      <c r="A81">
        <v>17</v>
      </c>
      <c r="B81">
        <v>1</v>
      </c>
      <c r="C81">
        <f>ROW(SmtRes!A15)</f>
        <v>15</v>
      </c>
      <c r="E81" t="s">
        <v>162</v>
      </c>
      <c r="F81" t="s">
        <v>163</v>
      </c>
      <c r="G81" t="s">
        <v>164</v>
      </c>
      <c r="H81" t="s">
        <v>165</v>
      </c>
      <c r="I81">
        <v>2</v>
      </c>
      <c r="J81">
        <v>0</v>
      </c>
      <c r="O81">
        <f t="shared" si="59"/>
        <v>12443.77</v>
      </c>
      <c r="P81">
        <f t="shared" si="60"/>
        <v>578.02</v>
      </c>
      <c r="Q81">
        <f t="shared" si="61"/>
        <v>1000.72</v>
      </c>
      <c r="R81">
        <f t="shared" si="62"/>
        <v>266.26</v>
      </c>
      <c r="S81">
        <f t="shared" si="63"/>
        <v>10865.03</v>
      </c>
      <c r="T81">
        <f t="shared" si="64"/>
        <v>0</v>
      </c>
      <c r="U81">
        <f t="shared" si="65"/>
        <v>40.31159399999999</v>
      </c>
      <c r="V81">
        <f t="shared" si="66"/>
        <v>0</v>
      </c>
      <c r="W81">
        <f t="shared" si="67"/>
        <v>0</v>
      </c>
      <c r="X81">
        <f t="shared" si="68"/>
        <v>9778.53</v>
      </c>
      <c r="Y81">
        <f t="shared" si="69"/>
        <v>4671.96</v>
      </c>
      <c r="AA81">
        <v>34388368</v>
      </c>
      <c r="AB81">
        <f t="shared" si="70"/>
        <v>380.7215</v>
      </c>
      <c r="AC81">
        <f t="shared" si="71"/>
        <v>55.26</v>
      </c>
      <c r="AD81">
        <f>ROUND(((((ET81*1.15))-((EU81*1.15)))+AE81),6)</f>
        <v>71.116</v>
      </c>
      <c r="AE81">
        <f>ROUND(((EU81*1.15)),6)</f>
        <v>6.233</v>
      </c>
      <c r="AF81">
        <f>ROUND(((EV81*1.15)),6)</f>
        <v>254.3455</v>
      </c>
      <c r="AG81">
        <f t="shared" si="73"/>
        <v>0</v>
      </c>
      <c r="AH81">
        <f>((EW81*1.15))</f>
        <v>19.250999999999998</v>
      </c>
      <c r="AI81">
        <f>((EX81*1.15))</f>
        <v>0</v>
      </c>
      <c r="AJ81">
        <f t="shared" si="75"/>
        <v>0</v>
      </c>
      <c r="AK81">
        <v>338.27</v>
      </c>
      <c r="AL81">
        <v>55.26</v>
      </c>
      <c r="AM81">
        <v>61.84</v>
      </c>
      <c r="AN81">
        <v>5.42</v>
      </c>
      <c r="AO81">
        <v>221.17</v>
      </c>
      <c r="AP81">
        <v>0</v>
      </c>
      <c r="AQ81">
        <v>16.74</v>
      </c>
      <c r="AR81">
        <v>0</v>
      </c>
      <c r="AS81">
        <v>0</v>
      </c>
      <c r="AT81">
        <v>90</v>
      </c>
      <c r="AU81">
        <v>43</v>
      </c>
      <c r="AV81">
        <v>1.047</v>
      </c>
      <c r="AW81">
        <v>1</v>
      </c>
      <c r="AZ81">
        <v>1</v>
      </c>
      <c r="BA81">
        <v>20.4</v>
      </c>
      <c r="BB81">
        <v>6.72</v>
      </c>
      <c r="BC81">
        <v>5.23</v>
      </c>
      <c r="BH81">
        <v>0</v>
      </c>
      <c r="BI81">
        <v>2</v>
      </c>
      <c r="BJ81" t="s">
        <v>166</v>
      </c>
      <c r="BM81">
        <v>1726</v>
      </c>
      <c r="BN81">
        <v>0</v>
      </c>
      <c r="BO81" t="s">
        <v>163</v>
      </c>
      <c r="BP81">
        <v>1</v>
      </c>
      <c r="BQ81">
        <v>40</v>
      </c>
      <c r="BR81">
        <v>0</v>
      </c>
      <c r="BS81">
        <v>20.4</v>
      </c>
      <c r="BT81">
        <v>1</v>
      </c>
      <c r="BU81">
        <v>1</v>
      </c>
      <c r="BV81">
        <v>1</v>
      </c>
      <c r="BW81">
        <v>1</v>
      </c>
      <c r="BX81">
        <v>1</v>
      </c>
      <c r="BZ81">
        <v>90</v>
      </c>
      <c r="CA81">
        <v>43</v>
      </c>
      <c r="CF81">
        <v>0</v>
      </c>
      <c r="CG81">
        <v>0</v>
      </c>
      <c r="CM81">
        <v>0</v>
      </c>
      <c r="CN81" t="s">
        <v>521</v>
      </c>
      <c r="CO81">
        <v>0</v>
      </c>
      <c r="CP81">
        <f t="shared" si="76"/>
        <v>12443.77</v>
      </c>
      <c r="CQ81">
        <f t="shared" si="77"/>
        <v>289.00980000000004</v>
      </c>
      <c r="CR81">
        <f>(((((ET81*1.15))*BB81-((EU81*1.15))*BS81)+AE81*BS81)*AV81)</f>
        <v>500.36079743999994</v>
      </c>
      <c r="CS81">
        <f t="shared" si="78"/>
        <v>133.12940039999998</v>
      </c>
      <c r="CT81">
        <f t="shared" si="79"/>
        <v>5432.514665399999</v>
      </c>
      <c r="CU81">
        <f t="shared" si="80"/>
        <v>0</v>
      </c>
      <c r="CV81">
        <f t="shared" si="81"/>
        <v>20.155796999999996</v>
      </c>
      <c r="CW81">
        <f t="shared" si="82"/>
        <v>0</v>
      </c>
      <c r="CX81">
        <f t="shared" si="83"/>
        <v>0</v>
      </c>
      <c r="CY81">
        <f t="shared" si="84"/>
        <v>9778.527</v>
      </c>
      <c r="CZ81">
        <f t="shared" si="85"/>
        <v>4671.9629</v>
      </c>
      <c r="DE81" t="s">
        <v>27</v>
      </c>
      <c r="DF81" t="s">
        <v>27</v>
      </c>
      <c r="DG81" t="s">
        <v>27</v>
      </c>
      <c r="DI81" t="s">
        <v>27</v>
      </c>
      <c r="DJ81" t="s">
        <v>27</v>
      </c>
      <c r="DN81">
        <v>112</v>
      </c>
      <c r="DO81">
        <v>70</v>
      </c>
      <c r="DP81">
        <v>1.047</v>
      </c>
      <c r="DQ81">
        <v>1</v>
      </c>
      <c r="DU81">
        <v>1013</v>
      </c>
      <c r="DV81" t="s">
        <v>165</v>
      </c>
      <c r="DW81" t="s">
        <v>165</v>
      </c>
      <c r="DX81">
        <v>1</v>
      </c>
      <c r="EE81">
        <v>34319141</v>
      </c>
      <c r="EF81">
        <v>40</v>
      </c>
      <c r="EG81" t="s">
        <v>49</v>
      </c>
      <c r="EH81">
        <v>0</v>
      </c>
      <c r="EJ81">
        <v>2</v>
      </c>
      <c r="EK81">
        <v>1726</v>
      </c>
      <c r="EL81" t="s">
        <v>167</v>
      </c>
      <c r="EM81" t="s">
        <v>168</v>
      </c>
      <c r="EO81" t="s">
        <v>52</v>
      </c>
      <c r="EQ81">
        <v>0</v>
      </c>
      <c r="ER81">
        <v>338.27</v>
      </c>
      <c r="ES81">
        <v>55.26</v>
      </c>
      <c r="ET81">
        <v>61.84</v>
      </c>
      <c r="EU81">
        <v>5.42</v>
      </c>
      <c r="EV81">
        <v>221.17</v>
      </c>
      <c r="EW81">
        <v>16.74</v>
      </c>
      <c r="EX81">
        <v>0</v>
      </c>
      <c r="EY81">
        <v>0</v>
      </c>
      <c r="FQ81">
        <v>0</v>
      </c>
      <c r="FR81">
        <f t="shared" si="86"/>
        <v>0</v>
      </c>
      <c r="FS81">
        <v>0</v>
      </c>
      <c r="FX81">
        <v>112</v>
      </c>
      <c r="FY81">
        <v>70</v>
      </c>
      <c r="GD81">
        <v>0</v>
      </c>
      <c r="GF81">
        <v>-98321917</v>
      </c>
      <c r="GG81">
        <v>2</v>
      </c>
      <c r="GH81">
        <v>1</v>
      </c>
      <c r="GI81">
        <v>2</v>
      </c>
      <c r="GJ81">
        <v>0</v>
      </c>
      <c r="GK81">
        <f>ROUND(R81*(R12)/100,2)</f>
        <v>444.65</v>
      </c>
      <c r="GL81">
        <f t="shared" si="87"/>
        <v>0</v>
      </c>
      <c r="GM81">
        <f t="shared" si="88"/>
        <v>27338.910000000003</v>
      </c>
      <c r="GN81">
        <f t="shared" si="89"/>
        <v>0</v>
      </c>
      <c r="GO81">
        <f t="shared" si="90"/>
        <v>27338.91</v>
      </c>
      <c r="GP81">
        <f t="shared" si="91"/>
        <v>0</v>
      </c>
      <c r="GT81">
        <v>0</v>
      </c>
      <c r="GU81">
        <v>1</v>
      </c>
      <c r="GV81">
        <v>0</v>
      </c>
      <c r="GW81">
        <v>0</v>
      </c>
      <c r="GX81">
        <f t="shared" si="92"/>
        <v>0</v>
      </c>
    </row>
    <row r="82" spans="1:206" ht="12.75">
      <c r="A82">
        <v>18</v>
      </c>
      <c r="B82">
        <v>1</v>
      </c>
      <c r="C82">
        <v>15</v>
      </c>
      <c r="E82" t="s">
        <v>169</v>
      </c>
      <c r="F82" t="s">
        <v>62</v>
      </c>
      <c r="G82" t="s">
        <v>170</v>
      </c>
      <c r="H82" t="s">
        <v>165</v>
      </c>
      <c r="I82">
        <f>I81*J82</f>
        <v>2</v>
      </c>
      <c r="J82">
        <v>1</v>
      </c>
      <c r="O82">
        <f t="shared" si="59"/>
        <v>37940.68</v>
      </c>
      <c r="P82">
        <f t="shared" si="60"/>
        <v>37940.68</v>
      </c>
      <c r="Q82">
        <f t="shared" si="61"/>
        <v>0</v>
      </c>
      <c r="R82">
        <f t="shared" si="62"/>
        <v>0</v>
      </c>
      <c r="S82">
        <f t="shared" si="63"/>
        <v>0</v>
      </c>
      <c r="T82">
        <f t="shared" si="64"/>
        <v>0</v>
      </c>
      <c r="U82">
        <f t="shared" si="65"/>
        <v>0</v>
      </c>
      <c r="V82">
        <f t="shared" si="66"/>
        <v>0</v>
      </c>
      <c r="W82">
        <f t="shared" si="67"/>
        <v>0</v>
      </c>
      <c r="X82">
        <f t="shared" si="68"/>
        <v>0</v>
      </c>
      <c r="Y82">
        <f t="shared" si="69"/>
        <v>0</v>
      </c>
      <c r="AA82">
        <v>34388368</v>
      </c>
      <c r="AB82">
        <f t="shared" si="70"/>
        <v>18970.34</v>
      </c>
      <c r="AC82">
        <f t="shared" si="71"/>
        <v>18970.34</v>
      </c>
      <c r="AD82">
        <f>ROUND((((ET82)-(EU82))+AE82),6)</f>
        <v>0</v>
      </c>
      <c r="AE82">
        <f>ROUND((EU82),6)</f>
        <v>0</v>
      </c>
      <c r="AF82">
        <f>ROUND((EV82),6)</f>
        <v>0</v>
      </c>
      <c r="AG82">
        <f t="shared" si="73"/>
        <v>0</v>
      </c>
      <c r="AH82">
        <f>(EW82)</f>
        <v>0</v>
      </c>
      <c r="AI82">
        <f>(EX82)</f>
        <v>0</v>
      </c>
      <c r="AJ82">
        <f t="shared" si="75"/>
        <v>0</v>
      </c>
      <c r="AK82">
        <v>18970.34</v>
      </c>
      <c r="AL82">
        <v>18970.34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1</v>
      </c>
      <c r="AW82">
        <v>1</v>
      </c>
      <c r="AZ82">
        <v>1</v>
      </c>
      <c r="BA82">
        <v>1</v>
      </c>
      <c r="BB82">
        <v>1</v>
      </c>
      <c r="BC82">
        <v>1</v>
      </c>
      <c r="BH82">
        <v>3</v>
      </c>
      <c r="BI82">
        <v>2</v>
      </c>
      <c r="BM82">
        <v>1726</v>
      </c>
      <c r="BN82">
        <v>0</v>
      </c>
      <c r="BP82">
        <v>0</v>
      </c>
      <c r="BQ82">
        <v>40</v>
      </c>
      <c r="BR82">
        <v>0</v>
      </c>
      <c r="BS82">
        <v>1</v>
      </c>
      <c r="BT82">
        <v>1</v>
      </c>
      <c r="BU82">
        <v>1</v>
      </c>
      <c r="BV82">
        <v>1</v>
      </c>
      <c r="BW82">
        <v>1</v>
      </c>
      <c r="BX82">
        <v>1</v>
      </c>
      <c r="BZ82">
        <v>0</v>
      </c>
      <c r="CA82">
        <v>0</v>
      </c>
      <c r="CF82">
        <v>0</v>
      </c>
      <c r="CG82">
        <v>0</v>
      </c>
      <c r="CM82">
        <v>0</v>
      </c>
      <c r="CO82">
        <v>0</v>
      </c>
      <c r="CP82">
        <f t="shared" si="76"/>
        <v>37940.68</v>
      </c>
      <c r="CQ82">
        <f t="shared" si="77"/>
        <v>18970.34</v>
      </c>
      <c r="CR82">
        <f>((((ET82)*BB82-(EU82)*BS82)+AE82*BS82)*AV82)</f>
        <v>0</v>
      </c>
      <c r="CS82">
        <f t="shared" si="78"/>
        <v>0</v>
      </c>
      <c r="CT82">
        <f t="shared" si="79"/>
        <v>0</v>
      </c>
      <c r="CU82">
        <f t="shared" si="80"/>
        <v>0</v>
      </c>
      <c r="CV82">
        <f t="shared" si="81"/>
        <v>0</v>
      </c>
      <c r="CW82">
        <f t="shared" si="82"/>
        <v>0</v>
      </c>
      <c r="CX82">
        <f t="shared" si="83"/>
        <v>0</v>
      </c>
      <c r="CY82">
        <f t="shared" si="84"/>
        <v>0</v>
      </c>
      <c r="CZ82">
        <f t="shared" si="85"/>
        <v>0</v>
      </c>
      <c r="DN82">
        <v>112</v>
      </c>
      <c r="DO82">
        <v>70</v>
      </c>
      <c r="DP82">
        <v>1.047</v>
      </c>
      <c r="DQ82">
        <v>1</v>
      </c>
      <c r="DU82">
        <v>1013</v>
      </c>
      <c r="DV82" t="s">
        <v>165</v>
      </c>
      <c r="DW82" t="s">
        <v>165</v>
      </c>
      <c r="DX82">
        <v>1</v>
      </c>
      <c r="EE82">
        <v>34319141</v>
      </c>
      <c r="EF82">
        <v>40</v>
      </c>
      <c r="EG82" t="s">
        <v>49</v>
      </c>
      <c r="EH82">
        <v>0</v>
      </c>
      <c r="EJ82">
        <v>2</v>
      </c>
      <c r="EK82">
        <v>1726</v>
      </c>
      <c r="EL82" t="s">
        <v>167</v>
      </c>
      <c r="EM82" t="s">
        <v>168</v>
      </c>
      <c r="EQ82">
        <v>0</v>
      </c>
      <c r="ER82">
        <v>18970.34</v>
      </c>
      <c r="ES82">
        <v>18970.34</v>
      </c>
      <c r="ET82">
        <v>0</v>
      </c>
      <c r="EU82">
        <v>0</v>
      </c>
      <c r="EV82">
        <v>0</v>
      </c>
      <c r="EW82">
        <v>0</v>
      </c>
      <c r="EX82">
        <v>0</v>
      </c>
      <c r="EZ82">
        <v>5</v>
      </c>
      <c r="FC82">
        <v>1</v>
      </c>
      <c r="FD82">
        <v>18</v>
      </c>
      <c r="FF82">
        <v>22385</v>
      </c>
      <c r="FQ82">
        <v>0</v>
      </c>
      <c r="FR82">
        <f t="shared" si="86"/>
        <v>0</v>
      </c>
      <c r="FS82">
        <v>0</v>
      </c>
      <c r="FX82">
        <v>112</v>
      </c>
      <c r="FY82">
        <v>70</v>
      </c>
      <c r="GA82" t="s">
        <v>171</v>
      </c>
      <c r="GD82">
        <v>0</v>
      </c>
      <c r="GF82">
        <v>-1959680641</v>
      </c>
      <c r="GG82">
        <v>2</v>
      </c>
      <c r="GH82">
        <v>3</v>
      </c>
      <c r="GI82">
        <v>-2</v>
      </c>
      <c r="GJ82">
        <v>0</v>
      </c>
      <c r="GK82">
        <f>ROUND(R82*(R12)/100,2)</f>
        <v>0</v>
      </c>
      <c r="GL82">
        <f t="shared" si="87"/>
        <v>0</v>
      </c>
      <c r="GM82">
        <f t="shared" si="88"/>
        <v>37940.68</v>
      </c>
      <c r="GN82">
        <f t="shared" si="89"/>
        <v>0</v>
      </c>
      <c r="GO82">
        <f t="shared" si="90"/>
        <v>37940.68</v>
      </c>
      <c r="GP82">
        <f t="shared" si="91"/>
        <v>0</v>
      </c>
      <c r="GT82">
        <v>0</v>
      </c>
      <c r="GU82">
        <v>1</v>
      </c>
      <c r="GV82">
        <v>0</v>
      </c>
      <c r="GW82">
        <v>0</v>
      </c>
      <c r="GX82">
        <f t="shared" si="92"/>
        <v>0</v>
      </c>
    </row>
    <row r="83" spans="1:206" ht="12.75">
      <c r="A83">
        <v>17</v>
      </c>
      <c r="B83">
        <v>1</v>
      </c>
      <c r="C83">
        <f>ROW(SmtRes!A16)</f>
        <v>16</v>
      </c>
      <c r="E83" t="s">
        <v>172</v>
      </c>
      <c r="F83" t="s">
        <v>173</v>
      </c>
      <c r="G83" t="s">
        <v>174</v>
      </c>
      <c r="H83" t="s">
        <v>165</v>
      </c>
      <c r="I83">
        <v>12</v>
      </c>
      <c r="J83">
        <v>0</v>
      </c>
      <c r="O83">
        <f t="shared" si="59"/>
        <v>71612.67</v>
      </c>
      <c r="P83">
        <f t="shared" si="60"/>
        <v>3848.44</v>
      </c>
      <c r="Q83">
        <f t="shared" si="61"/>
        <v>5206.18</v>
      </c>
      <c r="R83">
        <f t="shared" si="62"/>
        <v>1388.28</v>
      </c>
      <c r="S83">
        <f t="shared" si="63"/>
        <v>62558.05</v>
      </c>
      <c r="T83">
        <f t="shared" si="64"/>
        <v>0</v>
      </c>
      <c r="U83">
        <f t="shared" si="65"/>
        <v>233.20040399999996</v>
      </c>
      <c r="V83">
        <f t="shared" si="66"/>
        <v>0</v>
      </c>
      <c r="W83">
        <f t="shared" si="67"/>
        <v>0</v>
      </c>
      <c r="X83">
        <f t="shared" si="68"/>
        <v>56302.25</v>
      </c>
      <c r="Y83">
        <f t="shared" si="69"/>
        <v>26899.96</v>
      </c>
      <c r="AA83">
        <v>34388368</v>
      </c>
      <c r="AB83">
        <f t="shared" si="70"/>
        <v>366.967</v>
      </c>
      <c r="AC83">
        <f t="shared" si="71"/>
        <v>61.32</v>
      </c>
      <c r="AD83">
        <f>ROUND(((((ET83*1.15))-((EU83*1.15)))+AE83),6)</f>
        <v>61.571</v>
      </c>
      <c r="AE83">
        <f>ROUND(((EU83*1.15)),6)</f>
        <v>5.4165</v>
      </c>
      <c r="AF83">
        <f>ROUND(((EV83*1.15)),6)</f>
        <v>244.076</v>
      </c>
      <c r="AG83">
        <f t="shared" si="73"/>
        <v>0</v>
      </c>
      <c r="AH83">
        <f>((EW83*1.15))</f>
        <v>18.561</v>
      </c>
      <c r="AI83">
        <f>((EX83*1.15))</f>
        <v>0</v>
      </c>
      <c r="AJ83">
        <f t="shared" si="75"/>
        <v>0</v>
      </c>
      <c r="AK83">
        <v>327.1</v>
      </c>
      <c r="AL83">
        <v>61.32</v>
      </c>
      <c r="AM83">
        <v>53.54</v>
      </c>
      <c r="AN83">
        <v>4.71</v>
      </c>
      <c r="AO83">
        <v>212.24</v>
      </c>
      <c r="AP83">
        <v>0</v>
      </c>
      <c r="AQ83">
        <v>16.14</v>
      </c>
      <c r="AR83">
        <v>0</v>
      </c>
      <c r="AS83">
        <v>0</v>
      </c>
      <c r="AT83">
        <v>90</v>
      </c>
      <c r="AU83">
        <v>43</v>
      </c>
      <c r="AV83">
        <v>1.047</v>
      </c>
      <c r="AW83">
        <v>1</v>
      </c>
      <c r="AZ83">
        <v>1</v>
      </c>
      <c r="BA83">
        <v>20.4</v>
      </c>
      <c r="BB83">
        <v>6.73</v>
      </c>
      <c r="BC83">
        <v>5.23</v>
      </c>
      <c r="BH83">
        <v>0</v>
      </c>
      <c r="BI83">
        <v>2</v>
      </c>
      <c r="BJ83" t="s">
        <v>175</v>
      </c>
      <c r="BM83">
        <v>1726</v>
      </c>
      <c r="BN83">
        <v>0</v>
      </c>
      <c r="BO83" t="s">
        <v>173</v>
      </c>
      <c r="BP83">
        <v>1</v>
      </c>
      <c r="BQ83">
        <v>40</v>
      </c>
      <c r="BR83">
        <v>0</v>
      </c>
      <c r="BS83">
        <v>20.4</v>
      </c>
      <c r="BT83">
        <v>1</v>
      </c>
      <c r="BU83">
        <v>1</v>
      </c>
      <c r="BV83">
        <v>1</v>
      </c>
      <c r="BW83">
        <v>1</v>
      </c>
      <c r="BX83">
        <v>1</v>
      </c>
      <c r="BZ83">
        <v>90</v>
      </c>
      <c r="CA83">
        <v>43</v>
      </c>
      <c r="CF83">
        <v>0</v>
      </c>
      <c r="CG83">
        <v>0</v>
      </c>
      <c r="CM83">
        <v>0</v>
      </c>
      <c r="CN83" t="s">
        <v>521</v>
      </c>
      <c r="CO83">
        <v>0</v>
      </c>
      <c r="CP83">
        <f t="shared" si="76"/>
        <v>71612.67</v>
      </c>
      <c r="CQ83">
        <f t="shared" si="77"/>
        <v>320.70360000000005</v>
      </c>
      <c r="CR83">
        <f>(((((ET83*1.15))*BB83-((EU83*1.15))*BS83)+AE83*BS83)*AV83)</f>
        <v>433.8483530099999</v>
      </c>
      <c r="CS83">
        <f t="shared" si="78"/>
        <v>115.6899402</v>
      </c>
      <c r="CT83">
        <f t="shared" si="79"/>
        <v>5213.170468799999</v>
      </c>
      <c r="CU83">
        <f t="shared" si="80"/>
        <v>0</v>
      </c>
      <c r="CV83">
        <f t="shared" si="81"/>
        <v>19.433366999999997</v>
      </c>
      <c r="CW83">
        <f t="shared" si="82"/>
        <v>0</v>
      </c>
      <c r="CX83">
        <f t="shared" si="83"/>
        <v>0</v>
      </c>
      <c r="CY83">
        <f t="shared" si="84"/>
        <v>56302.245</v>
      </c>
      <c r="CZ83">
        <f t="shared" si="85"/>
        <v>26899.9615</v>
      </c>
      <c r="DE83" t="s">
        <v>27</v>
      </c>
      <c r="DF83" t="s">
        <v>27</v>
      </c>
      <c r="DG83" t="s">
        <v>27</v>
      </c>
      <c r="DI83" t="s">
        <v>27</v>
      </c>
      <c r="DJ83" t="s">
        <v>27</v>
      </c>
      <c r="DN83">
        <v>112</v>
      </c>
      <c r="DO83">
        <v>70</v>
      </c>
      <c r="DP83">
        <v>1.047</v>
      </c>
      <c r="DQ83">
        <v>1</v>
      </c>
      <c r="DU83">
        <v>1013</v>
      </c>
      <c r="DV83" t="s">
        <v>165</v>
      </c>
      <c r="DW83" t="s">
        <v>165</v>
      </c>
      <c r="DX83">
        <v>1</v>
      </c>
      <c r="EE83">
        <v>34319141</v>
      </c>
      <c r="EF83">
        <v>40</v>
      </c>
      <c r="EG83" t="s">
        <v>49</v>
      </c>
      <c r="EH83">
        <v>0</v>
      </c>
      <c r="EJ83">
        <v>2</v>
      </c>
      <c r="EK83">
        <v>1726</v>
      </c>
      <c r="EL83" t="s">
        <v>167</v>
      </c>
      <c r="EM83" t="s">
        <v>168</v>
      </c>
      <c r="EO83" t="s">
        <v>52</v>
      </c>
      <c r="EQ83">
        <v>0</v>
      </c>
      <c r="ER83">
        <v>327.1</v>
      </c>
      <c r="ES83">
        <v>61.32</v>
      </c>
      <c r="ET83">
        <v>53.54</v>
      </c>
      <c r="EU83">
        <v>4.71</v>
      </c>
      <c r="EV83">
        <v>212.24</v>
      </c>
      <c r="EW83">
        <v>16.14</v>
      </c>
      <c r="EX83">
        <v>0</v>
      </c>
      <c r="EY83">
        <v>0</v>
      </c>
      <c r="FQ83">
        <v>0</v>
      </c>
      <c r="FR83">
        <f t="shared" si="86"/>
        <v>0</v>
      </c>
      <c r="FS83">
        <v>0</v>
      </c>
      <c r="FX83">
        <v>112</v>
      </c>
      <c r="FY83">
        <v>70</v>
      </c>
      <c r="GD83">
        <v>0</v>
      </c>
      <c r="GF83">
        <v>607223126</v>
      </c>
      <c r="GG83">
        <v>2</v>
      </c>
      <c r="GH83">
        <v>1</v>
      </c>
      <c r="GI83">
        <v>2</v>
      </c>
      <c r="GJ83">
        <v>0</v>
      </c>
      <c r="GK83">
        <f>ROUND(R83*(R12)/100,2)</f>
        <v>2318.43</v>
      </c>
      <c r="GL83">
        <f t="shared" si="87"/>
        <v>0</v>
      </c>
      <c r="GM83">
        <f t="shared" si="88"/>
        <v>157133.31</v>
      </c>
      <c r="GN83">
        <f t="shared" si="89"/>
        <v>0</v>
      </c>
      <c r="GO83">
        <f t="shared" si="90"/>
        <v>157133.31</v>
      </c>
      <c r="GP83">
        <f t="shared" si="91"/>
        <v>0</v>
      </c>
      <c r="GT83">
        <v>0</v>
      </c>
      <c r="GU83">
        <v>1</v>
      </c>
      <c r="GV83">
        <v>0</v>
      </c>
      <c r="GW83">
        <v>0</v>
      </c>
      <c r="GX83">
        <f t="shared" si="92"/>
        <v>0</v>
      </c>
    </row>
    <row r="84" spans="1:206" ht="12.75">
      <c r="A84">
        <v>18</v>
      </c>
      <c r="B84">
        <v>1</v>
      </c>
      <c r="C84">
        <v>16</v>
      </c>
      <c r="E84" t="s">
        <v>176</v>
      </c>
      <c r="F84" t="s">
        <v>62</v>
      </c>
      <c r="G84" t="s">
        <v>177</v>
      </c>
      <c r="H84" t="s">
        <v>165</v>
      </c>
      <c r="I84">
        <f>I83*J84</f>
        <v>12</v>
      </c>
      <c r="J84">
        <v>1</v>
      </c>
      <c r="O84">
        <f t="shared" si="59"/>
        <v>127118.64</v>
      </c>
      <c r="P84">
        <f t="shared" si="60"/>
        <v>127118.64</v>
      </c>
      <c r="Q84">
        <f t="shared" si="61"/>
        <v>0</v>
      </c>
      <c r="R84">
        <f t="shared" si="62"/>
        <v>0</v>
      </c>
      <c r="S84">
        <f t="shared" si="63"/>
        <v>0</v>
      </c>
      <c r="T84">
        <f t="shared" si="64"/>
        <v>0</v>
      </c>
      <c r="U84">
        <f t="shared" si="65"/>
        <v>0</v>
      </c>
      <c r="V84">
        <f t="shared" si="66"/>
        <v>0</v>
      </c>
      <c r="W84">
        <f t="shared" si="67"/>
        <v>0</v>
      </c>
      <c r="X84">
        <f t="shared" si="68"/>
        <v>0</v>
      </c>
      <c r="Y84">
        <f t="shared" si="69"/>
        <v>0</v>
      </c>
      <c r="AA84">
        <v>34388368</v>
      </c>
      <c r="AB84">
        <f t="shared" si="70"/>
        <v>10593.22</v>
      </c>
      <c r="AC84">
        <f t="shared" si="71"/>
        <v>10593.22</v>
      </c>
      <c r="AD84">
        <f>ROUND((((ET84)-(EU84))+AE84),6)</f>
        <v>0</v>
      </c>
      <c r="AE84">
        <f>ROUND((EU84),6)</f>
        <v>0</v>
      </c>
      <c r="AF84">
        <f>ROUND((EV84),6)</f>
        <v>0</v>
      </c>
      <c r="AG84">
        <f t="shared" si="73"/>
        <v>0</v>
      </c>
      <c r="AH84">
        <f>(EW84)</f>
        <v>0</v>
      </c>
      <c r="AI84">
        <f>(EX84)</f>
        <v>0</v>
      </c>
      <c r="AJ84">
        <f t="shared" si="75"/>
        <v>0</v>
      </c>
      <c r="AK84">
        <v>10593.22</v>
      </c>
      <c r="AL84">
        <v>10593.22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1</v>
      </c>
      <c r="AW84">
        <v>1</v>
      </c>
      <c r="AZ84">
        <v>1</v>
      </c>
      <c r="BA84">
        <v>1</v>
      </c>
      <c r="BB84">
        <v>1</v>
      </c>
      <c r="BC84">
        <v>1</v>
      </c>
      <c r="BH84">
        <v>3</v>
      </c>
      <c r="BI84">
        <v>2</v>
      </c>
      <c r="BM84">
        <v>1726</v>
      </c>
      <c r="BN84">
        <v>0</v>
      </c>
      <c r="BP84">
        <v>0</v>
      </c>
      <c r="BQ84">
        <v>40</v>
      </c>
      <c r="BR84">
        <v>0</v>
      </c>
      <c r="BS84">
        <v>1</v>
      </c>
      <c r="BT84">
        <v>1</v>
      </c>
      <c r="BU84">
        <v>1</v>
      </c>
      <c r="BV84">
        <v>1</v>
      </c>
      <c r="BW84">
        <v>1</v>
      </c>
      <c r="BX84">
        <v>1</v>
      </c>
      <c r="BZ84">
        <v>0</v>
      </c>
      <c r="CA84">
        <v>0</v>
      </c>
      <c r="CF84">
        <v>0</v>
      </c>
      <c r="CG84">
        <v>0</v>
      </c>
      <c r="CM84">
        <v>0</v>
      </c>
      <c r="CO84">
        <v>0</v>
      </c>
      <c r="CP84">
        <f t="shared" si="76"/>
        <v>127118.64</v>
      </c>
      <c r="CQ84">
        <f t="shared" si="77"/>
        <v>10593.22</v>
      </c>
      <c r="CR84">
        <f>((((ET84)*BB84-(EU84)*BS84)+AE84*BS84)*AV84)</f>
        <v>0</v>
      </c>
      <c r="CS84">
        <f t="shared" si="78"/>
        <v>0</v>
      </c>
      <c r="CT84">
        <f t="shared" si="79"/>
        <v>0</v>
      </c>
      <c r="CU84">
        <f t="shared" si="80"/>
        <v>0</v>
      </c>
      <c r="CV84">
        <f t="shared" si="81"/>
        <v>0</v>
      </c>
      <c r="CW84">
        <f t="shared" si="82"/>
        <v>0</v>
      </c>
      <c r="CX84">
        <f t="shared" si="83"/>
        <v>0</v>
      </c>
      <c r="CY84">
        <f t="shared" si="84"/>
        <v>0</v>
      </c>
      <c r="CZ84">
        <f t="shared" si="85"/>
        <v>0</v>
      </c>
      <c r="DN84">
        <v>112</v>
      </c>
      <c r="DO84">
        <v>70</v>
      </c>
      <c r="DP84">
        <v>1.047</v>
      </c>
      <c r="DQ84">
        <v>1</v>
      </c>
      <c r="DU84">
        <v>1013</v>
      </c>
      <c r="DV84" t="s">
        <v>165</v>
      </c>
      <c r="DW84" t="s">
        <v>165</v>
      </c>
      <c r="DX84">
        <v>1</v>
      </c>
      <c r="EE84">
        <v>34319141</v>
      </c>
      <c r="EF84">
        <v>40</v>
      </c>
      <c r="EG84" t="s">
        <v>49</v>
      </c>
      <c r="EH84">
        <v>0</v>
      </c>
      <c r="EJ84">
        <v>2</v>
      </c>
      <c r="EK84">
        <v>1726</v>
      </c>
      <c r="EL84" t="s">
        <v>167</v>
      </c>
      <c r="EM84" t="s">
        <v>168</v>
      </c>
      <c r="EQ84">
        <v>0</v>
      </c>
      <c r="ER84">
        <v>10593.22</v>
      </c>
      <c r="ES84">
        <v>10593.22</v>
      </c>
      <c r="ET84">
        <v>0</v>
      </c>
      <c r="EU84">
        <v>0</v>
      </c>
      <c r="EV84">
        <v>0</v>
      </c>
      <c r="EW84">
        <v>0</v>
      </c>
      <c r="EX84">
        <v>0</v>
      </c>
      <c r="EZ84">
        <v>5</v>
      </c>
      <c r="FC84">
        <v>1</v>
      </c>
      <c r="FD84">
        <v>18</v>
      </c>
      <c r="FF84">
        <v>12500</v>
      </c>
      <c r="FQ84">
        <v>0</v>
      </c>
      <c r="FR84">
        <f t="shared" si="86"/>
        <v>0</v>
      </c>
      <c r="FS84">
        <v>0</v>
      </c>
      <c r="FX84">
        <v>112</v>
      </c>
      <c r="FY84">
        <v>70</v>
      </c>
      <c r="GA84" t="s">
        <v>178</v>
      </c>
      <c r="GD84">
        <v>0</v>
      </c>
      <c r="GF84">
        <v>1367263978</v>
      </c>
      <c r="GG84">
        <v>2</v>
      </c>
      <c r="GH84">
        <v>3</v>
      </c>
      <c r="GI84">
        <v>-2</v>
      </c>
      <c r="GJ84">
        <v>0</v>
      </c>
      <c r="GK84">
        <f>ROUND(R84*(R12)/100,2)</f>
        <v>0</v>
      </c>
      <c r="GL84">
        <f t="shared" si="87"/>
        <v>0</v>
      </c>
      <c r="GM84">
        <f t="shared" si="88"/>
        <v>127118.64</v>
      </c>
      <c r="GN84">
        <f t="shared" si="89"/>
        <v>0</v>
      </c>
      <c r="GO84">
        <f t="shared" si="90"/>
        <v>127118.64</v>
      </c>
      <c r="GP84">
        <f t="shared" si="91"/>
        <v>0</v>
      </c>
      <c r="GT84">
        <v>0</v>
      </c>
      <c r="GU84">
        <v>1</v>
      </c>
      <c r="GV84">
        <v>0</v>
      </c>
      <c r="GW84">
        <v>0</v>
      </c>
      <c r="GX84">
        <f t="shared" si="92"/>
        <v>0</v>
      </c>
    </row>
    <row r="85" spans="1:206" ht="12.75">
      <c r="A85">
        <v>17</v>
      </c>
      <c r="B85">
        <v>1</v>
      </c>
      <c r="E85" t="s">
        <v>179</v>
      </c>
      <c r="F85" t="s">
        <v>180</v>
      </c>
      <c r="G85" t="s">
        <v>181</v>
      </c>
      <c r="H85" t="s">
        <v>182</v>
      </c>
      <c r="I85">
        <f>ROUND(32/100,9)</f>
        <v>0.32</v>
      </c>
      <c r="J85">
        <v>0</v>
      </c>
      <c r="O85">
        <f t="shared" si="59"/>
        <v>19589.69</v>
      </c>
      <c r="P85">
        <f t="shared" si="60"/>
        <v>869.35</v>
      </c>
      <c r="Q85">
        <f t="shared" si="61"/>
        <v>1849.08</v>
      </c>
      <c r="R85">
        <f t="shared" si="62"/>
        <v>487.4</v>
      </c>
      <c r="S85">
        <f t="shared" si="63"/>
        <v>16871.26</v>
      </c>
      <c r="T85">
        <f t="shared" si="64"/>
        <v>0</v>
      </c>
      <c r="U85">
        <f t="shared" si="65"/>
        <v>60.06379343999999</v>
      </c>
      <c r="V85">
        <f t="shared" si="66"/>
        <v>0</v>
      </c>
      <c r="W85">
        <f t="shared" si="67"/>
        <v>0</v>
      </c>
      <c r="X85">
        <f t="shared" si="68"/>
        <v>15184.13</v>
      </c>
      <c r="Y85">
        <f t="shared" si="69"/>
        <v>7254.64</v>
      </c>
      <c r="AA85">
        <v>34388368</v>
      </c>
      <c r="AB85">
        <f t="shared" si="70"/>
        <v>3810.382</v>
      </c>
      <c r="AC85">
        <f t="shared" si="71"/>
        <v>519.45</v>
      </c>
      <c r="AD85">
        <f>ROUND(((((ET85*1.15))-((EU85*1.15)))+AE85),6)</f>
        <v>822.503</v>
      </c>
      <c r="AE85">
        <f>ROUND(((EU85*1.15)),6)</f>
        <v>71.3115</v>
      </c>
      <c r="AF85">
        <f>ROUND(((EV85*1.15)),6)</f>
        <v>2468.429</v>
      </c>
      <c r="AG85">
        <f t="shared" si="73"/>
        <v>0</v>
      </c>
      <c r="AH85">
        <f>((EW85*1.15))</f>
        <v>179.27349999999998</v>
      </c>
      <c r="AI85">
        <f>((EX85*1.15))</f>
        <v>0</v>
      </c>
      <c r="AJ85">
        <f t="shared" si="75"/>
        <v>0</v>
      </c>
      <c r="AK85">
        <v>3381.13</v>
      </c>
      <c r="AL85">
        <v>519.45</v>
      </c>
      <c r="AM85">
        <v>715.22</v>
      </c>
      <c r="AN85">
        <v>62.01</v>
      </c>
      <c r="AO85">
        <v>2146.46</v>
      </c>
      <c r="AP85">
        <v>0</v>
      </c>
      <c r="AQ85">
        <v>155.89</v>
      </c>
      <c r="AR85">
        <v>0</v>
      </c>
      <c r="AS85">
        <v>0</v>
      </c>
      <c r="AT85">
        <v>90</v>
      </c>
      <c r="AU85">
        <v>43</v>
      </c>
      <c r="AV85">
        <v>1.047</v>
      </c>
      <c r="AW85">
        <v>1</v>
      </c>
      <c r="AZ85">
        <v>1</v>
      </c>
      <c r="BA85">
        <v>20.4</v>
      </c>
      <c r="BB85">
        <v>6.71</v>
      </c>
      <c r="BC85">
        <v>5.23</v>
      </c>
      <c r="BH85">
        <v>0</v>
      </c>
      <c r="BI85">
        <v>2</v>
      </c>
      <c r="BJ85" t="s">
        <v>183</v>
      </c>
      <c r="BM85">
        <v>1726</v>
      </c>
      <c r="BN85">
        <v>0</v>
      </c>
      <c r="BO85" t="s">
        <v>180</v>
      </c>
      <c r="BP85">
        <v>1</v>
      </c>
      <c r="BQ85">
        <v>40</v>
      </c>
      <c r="BR85">
        <v>0</v>
      </c>
      <c r="BS85">
        <v>20.4</v>
      </c>
      <c r="BT85">
        <v>1</v>
      </c>
      <c r="BU85">
        <v>1</v>
      </c>
      <c r="BV85">
        <v>1</v>
      </c>
      <c r="BW85">
        <v>1</v>
      </c>
      <c r="BX85">
        <v>1</v>
      </c>
      <c r="BZ85">
        <v>90</v>
      </c>
      <c r="CA85">
        <v>43</v>
      </c>
      <c r="CF85">
        <v>0</v>
      </c>
      <c r="CG85">
        <v>0</v>
      </c>
      <c r="CM85">
        <v>0</v>
      </c>
      <c r="CN85" t="s">
        <v>521</v>
      </c>
      <c r="CO85">
        <v>0</v>
      </c>
      <c r="CP85">
        <f t="shared" si="76"/>
        <v>19589.69</v>
      </c>
      <c r="CQ85">
        <f t="shared" si="77"/>
        <v>2716.7235000000005</v>
      </c>
      <c r="CR85">
        <f>(((((ET85*1.15))*BB85-((EU85*1.15))*BS85)+AE85*BS85)*AV85)</f>
        <v>5778.387901109999</v>
      </c>
      <c r="CS85">
        <f t="shared" si="78"/>
        <v>1523.1280661999997</v>
      </c>
      <c r="CT85">
        <f t="shared" si="79"/>
        <v>52722.6813252</v>
      </c>
      <c r="CU85">
        <f t="shared" si="80"/>
        <v>0</v>
      </c>
      <c r="CV85">
        <f t="shared" si="81"/>
        <v>187.69935449999997</v>
      </c>
      <c r="CW85">
        <f t="shared" si="82"/>
        <v>0</v>
      </c>
      <c r="CX85">
        <f t="shared" si="83"/>
        <v>0</v>
      </c>
      <c r="CY85">
        <f t="shared" si="84"/>
        <v>15184.133999999998</v>
      </c>
      <c r="CZ85">
        <f t="shared" si="85"/>
        <v>7254.641799999999</v>
      </c>
      <c r="DE85" t="s">
        <v>27</v>
      </c>
      <c r="DF85" t="s">
        <v>27</v>
      </c>
      <c r="DG85" t="s">
        <v>27</v>
      </c>
      <c r="DI85" t="s">
        <v>27</v>
      </c>
      <c r="DJ85" t="s">
        <v>27</v>
      </c>
      <c r="DN85">
        <v>112</v>
      </c>
      <c r="DO85">
        <v>70</v>
      </c>
      <c r="DP85">
        <v>1.047</v>
      </c>
      <c r="DQ85">
        <v>1</v>
      </c>
      <c r="DU85">
        <v>1013</v>
      </c>
      <c r="DV85" t="s">
        <v>182</v>
      </c>
      <c r="DW85" t="s">
        <v>182</v>
      </c>
      <c r="DX85">
        <v>1</v>
      </c>
      <c r="EE85">
        <v>34319141</v>
      </c>
      <c r="EF85">
        <v>40</v>
      </c>
      <c r="EG85" t="s">
        <v>49</v>
      </c>
      <c r="EH85">
        <v>0</v>
      </c>
      <c r="EJ85">
        <v>2</v>
      </c>
      <c r="EK85">
        <v>1726</v>
      </c>
      <c r="EL85" t="s">
        <v>167</v>
      </c>
      <c r="EM85" t="s">
        <v>168</v>
      </c>
      <c r="EO85" t="s">
        <v>52</v>
      </c>
      <c r="EQ85">
        <v>0</v>
      </c>
      <c r="ER85">
        <v>3381.13</v>
      </c>
      <c r="ES85">
        <v>519.45</v>
      </c>
      <c r="ET85">
        <v>715.22</v>
      </c>
      <c r="EU85">
        <v>62.01</v>
      </c>
      <c r="EV85">
        <v>2146.46</v>
      </c>
      <c r="EW85">
        <v>155.89</v>
      </c>
      <c r="EX85">
        <v>0</v>
      </c>
      <c r="EY85">
        <v>0</v>
      </c>
      <c r="FQ85">
        <v>0</v>
      </c>
      <c r="FR85">
        <f t="shared" si="86"/>
        <v>0</v>
      </c>
      <c r="FS85">
        <v>0</v>
      </c>
      <c r="FX85">
        <v>112</v>
      </c>
      <c r="FY85">
        <v>70</v>
      </c>
      <c r="GD85">
        <v>0</v>
      </c>
      <c r="GF85">
        <v>1888042006</v>
      </c>
      <c r="GG85">
        <v>2</v>
      </c>
      <c r="GH85">
        <v>1</v>
      </c>
      <c r="GI85">
        <v>2</v>
      </c>
      <c r="GJ85">
        <v>0</v>
      </c>
      <c r="GK85">
        <f>ROUND(R85*(R12)/100,2)</f>
        <v>813.96</v>
      </c>
      <c r="GL85">
        <f t="shared" si="87"/>
        <v>0</v>
      </c>
      <c r="GM85">
        <f t="shared" si="88"/>
        <v>42842.42</v>
      </c>
      <c r="GN85">
        <f t="shared" si="89"/>
        <v>0</v>
      </c>
      <c r="GO85">
        <f t="shared" si="90"/>
        <v>42842.42</v>
      </c>
      <c r="GP85">
        <f t="shared" si="91"/>
        <v>0</v>
      </c>
      <c r="GT85">
        <v>0</v>
      </c>
      <c r="GU85">
        <v>1</v>
      </c>
      <c r="GV85">
        <v>0</v>
      </c>
      <c r="GW85">
        <v>0</v>
      </c>
      <c r="GX85">
        <f t="shared" si="92"/>
        <v>0</v>
      </c>
    </row>
    <row r="86" spans="1:206" ht="12.75">
      <c r="A86">
        <v>17</v>
      </c>
      <c r="B86">
        <v>1</v>
      </c>
      <c r="E86" t="s">
        <v>184</v>
      </c>
      <c r="F86" t="s">
        <v>62</v>
      </c>
      <c r="G86" t="s">
        <v>185</v>
      </c>
      <c r="H86" t="s">
        <v>165</v>
      </c>
      <c r="I86">
        <v>32</v>
      </c>
      <c r="J86">
        <v>0</v>
      </c>
      <c r="O86">
        <f t="shared" si="59"/>
        <v>21423.68</v>
      </c>
      <c r="P86">
        <f t="shared" si="60"/>
        <v>21423.68</v>
      </c>
      <c r="Q86">
        <f t="shared" si="61"/>
        <v>0</v>
      </c>
      <c r="R86">
        <f t="shared" si="62"/>
        <v>0</v>
      </c>
      <c r="S86">
        <f t="shared" si="63"/>
        <v>0</v>
      </c>
      <c r="T86">
        <f t="shared" si="64"/>
        <v>0</v>
      </c>
      <c r="U86">
        <f t="shared" si="65"/>
        <v>0</v>
      </c>
      <c r="V86">
        <f t="shared" si="66"/>
        <v>0</v>
      </c>
      <c r="W86">
        <f t="shared" si="67"/>
        <v>0</v>
      </c>
      <c r="X86">
        <f t="shared" si="68"/>
        <v>0</v>
      </c>
      <c r="Y86">
        <f t="shared" si="69"/>
        <v>0</v>
      </c>
      <c r="AA86">
        <v>34388368</v>
      </c>
      <c r="AB86">
        <f t="shared" si="70"/>
        <v>669.49</v>
      </c>
      <c r="AC86">
        <f t="shared" si="71"/>
        <v>669.49</v>
      </c>
      <c r="AD86">
        <f>ROUND((((ET86)-(EU86))+AE86),6)</f>
        <v>0</v>
      </c>
      <c r="AE86">
        <f>ROUND((EU86),6)</f>
        <v>0</v>
      </c>
      <c r="AF86">
        <f>ROUND((EV86),6)</f>
        <v>0</v>
      </c>
      <c r="AG86">
        <f t="shared" si="73"/>
        <v>0</v>
      </c>
      <c r="AH86">
        <f>(EW86)</f>
        <v>0</v>
      </c>
      <c r="AI86">
        <f>(EX86)</f>
        <v>0</v>
      </c>
      <c r="AJ86">
        <f t="shared" si="75"/>
        <v>0</v>
      </c>
      <c r="AK86">
        <v>669.49</v>
      </c>
      <c r="AL86">
        <v>669.49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1</v>
      </c>
      <c r="AW86">
        <v>1</v>
      </c>
      <c r="AZ86">
        <v>1</v>
      </c>
      <c r="BA86">
        <v>1</v>
      </c>
      <c r="BB86">
        <v>1</v>
      </c>
      <c r="BC86">
        <v>1</v>
      </c>
      <c r="BH86">
        <v>3</v>
      </c>
      <c r="BI86">
        <v>2</v>
      </c>
      <c r="BM86">
        <v>320</v>
      </c>
      <c r="BN86">
        <v>0</v>
      </c>
      <c r="BP86">
        <v>0</v>
      </c>
      <c r="BQ86">
        <v>40</v>
      </c>
      <c r="BR86">
        <v>0</v>
      </c>
      <c r="BS86">
        <v>1</v>
      </c>
      <c r="BT86">
        <v>1</v>
      </c>
      <c r="BU86">
        <v>1</v>
      </c>
      <c r="BV86">
        <v>1</v>
      </c>
      <c r="BW86">
        <v>1</v>
      </c>
      <c r="BX86">
        <v>1</v>
      </c>
      <c r="BZ86">
        <v>0</v>
      </c>
      <c r="CA86">
        <v>0</v>
      </c>
      <c r="CF86">
        <v>0</v>
      </c>
      <c r="CG86">
        <v>0</v>
      </c>
      <c r="CM86">
        <v>0</v>
      </c>
      <c r="CO86">
        <v>0</v>
      </c>
      <c r="CP86">
        <f t="shared" si="76"/>
        <v>21423.68</v>
      </c>
      <c r="CQ86">
        <f t="shared" si="77"/>
        <v>669.49</v>
      </c>
      <c r="CR86">
        <f>((((ET86)*BB86-(EU86)*BS86)+AE86*BS86)*AV86)</f>
        <v>0</v>
      </c>
      <c r="CS86">
        <f t="shared" si="78"/>
        <v>0</v>
      </c>
      <c r="CT86">
        <f t="shared" si="79"/>
        <v>0</v>
      </c>
      <c r="CU86">
        <f t="shared" si="80"/>
        <v>0</v>
      </c>
      <c r="CV86">
        <f t="shared" si="81"/>
        <v>0</v>
      </c>
      <c r="CW86">
        <f t="shared" si="82"/>
        <v>0</v>
      </c>
      <c r="CX86">
        <f t="shared" si="83"/>
        <v>0</v>
      </c>
      <c r="CY86">
        <f t="shared" si="84"/>
        <v>0</v>
      </c>
      <c r="CZ86">
        <f t="shared" si="85"/>
        <v>0</v>
      </c>
      <c r="DN86">
        <v>112</v>
      </c>
      <c r="DO86">
        <v>70</v>
      </c>
      <c r="DP86">
        <v>1.047</v>
      </c>
      <c r="DQ86">
        <v>1</v>
      </c>
      <c r="DU86">
        <v>1013</v>
      </c>
      <c r="DV86" t="s">
        <v>165</v>
      </c>
      <c r="DW86" t="s">
        <v>165</v>
      </c>
      <c r="DX86">
        <v>1</v>
      </c>
      <c r="EE86">
        <v>34317735</v>
      </c>
      <c r="EF86">
        <v>40</v>
      </c>
      <c r="EG86" t="s">
        <v>49</v>
      </c>
      <c r="EH86">
        <v>0</v>
      </c>
      <c r="EJ86">
        <v>2</v>
      </c>
      <c r="EK86">
        <v>320</v>
      </c>
      <c r="EL86" t="s">
        <v>186</v>
      </c>
      <c r="EM86" t="s">
        <v>187</v>
      </c>
      <c r="EQ86">
        <v>0</v>
      </c>
      <c r="ER86">
        <v>669.49</v>
      </c>
      <c r="ES86">
        <v>669.49</v>
      </c>
      <c r="ET86">
        <v>0</v>
      </c>
      <c r="EU86">
        <v>0</v>
      </c>
      <c r="EV86">
        <v>0</v>
      </c>
      <c r="EW86">
        <v>0</v>
      </c>
      <c r="EX86">
        <v>0</v>
      </c>
      <c r="EY86">
        <v>0</v>
      </c>
      <c r="EZ86">
        <v>5</v>
      </c>
      <c r="FC86">
        <v>1</v>
      </c>
      <c r="FD86">
        <v>18</v>
      </c>
      <c r="FF86">
        <v>790</v>
      </c>
      <c r="FQ86">
        <v>0</v>
      </c>
      <c r="FR86">
        <f t="shared" si="86"/>
        <v>0</v>
      </c>
      <c r="FS86">
        <v>0</v>
      </c>
      <c r="FX86">
        <v>112</v>
      </c>
      <c r="FY86">
        <v>70</v>
      </c>
      <c r="GA86" t="s">
        <v>188</v>
      </c>
      <c r="GD86">
        <v>0</v>
      </c>
      <c r="GF86">
        <v>1781784302</v>
      </c>
      <c r="GG86">
        <v>2</v>
      </c>
      <c r="GH86">
        <v>3</v>
      </c>
      <c r="GI86">
        <v>-2</v>
      </c>
      <c r="GJ86">
        <v>0</v>
      </c>
      <c r="GK86">
        <f>ROUND(R86*(R12)/100,2)</f>
        <v>0</v>
      </c>
      <c r="GL86">
        <f t="shared" si="87"/>
        <v>0</v>
      </c>
      <c r="GM86">
        <f t="shared" si="88"/>
        <v>21423.68</v>
      </c>
      <c r="GN86">
        <f t="shared" si="89"/>
        <v>0</v>
      </c>
      <c r="GO86">
        <f t="shared" si="90"/>
        <v>21423.68</v>
      </c>
      <c r="GP86">
        <f t="shared" si="91"/>
        <v>0</v>
      </c>
      <c r="GT86">
        <v>0</v>
      </c>
      <c r="GU86">
        <v>1</v>
      </c>
      <c r="GV86">
        <v>0</v>
      </c>
      <c r="GW86">
        <v>0</v>
      </c>
      <c r="GX86">
        <f t="shared" si="92"/>
        <v>0</v>
      </c>
    </row>
    <row r="87" spans="1:206" ht="12.75">
      <c r="A87">
        <v>17</v>
      </c>
      <c r="B87">
        <v>1</v>
      </c>
      <c r="E87" t="s">
        <v>189</v>
      </c>
      <c r="F87" t="s">
        <v>190</v>
      </c>
      <c r="G87" t="s">
        <v>191</v>
      </c>
      <c r="H87" t="s">
        <v>47</v>
      </c>
      <c r="I87">
        <f>ROUND(517/100,9)</f>
        <v>5.17</v>
      </c>
      <c r="J87">
        <v>0</v>
      </c>
      <c r="O87">
        <f t="shared" si="59"/>
        <v>33763.54</v>
      </c>
      <c r="P87">
        <f t="shared" si="60"/>
        <v>12.3</v>
      </c>
      <c r="Q87">
        <f t="shared" si="61"/>
        <v>23251.84</v>
      </c>
      <c r="R87">
        <f t="shared" si="62"/>
        <v>12390.15</v>
      </c>
      <c r="S87">
        <f t="shared" si="63"/>
        <v>10499.4</v>
      </c>
      <c r="T87">
        <f t="shared" si="64"/>
        <v>0</v>
      </c>
      <c r="U87">
        <f t="shared" si="65"/>
        <v>41.742523129999995</v>
      </c>
      <c r="V87">
        <f t="shared" si="66"/>
        <v>0</v>
      </c>
      <c r="W87">
        <f t="shared" si="67"/>
        <v>0</v>
      </c>
      <c r="X87">
        <f t="shared" si="68"/>
        <v>9449.46</v>
      </c>
      <c r="Y87">
        <f t="shared" si="69"/>
        <v>4514.74</v>
      </c>
      <c r="AA87">
        <v>34388368</v>
      </c>
      <c r="AB87">
        <f>ROUND(567.86379+GT87,6)</f>
        <v>567.86379</v>
      </c>
      <c r="AC87">
        <f t="shared" si="71"/>
        <v>0.42</v>
      </c>
      <c r="AD87">
        <f>ROUND(((((ET87*1.15))-((EU87*1.15)))+AE87),6)</f>
        <v>474.1335</v>
      </c>
      <c r="AE87">
        <f>ROUND(((EU87*1.15)),6)</f>
        <v>110.101</v>
      </c>
      <c r="AF87">
        <f>ROUND(((EV87*1.15)),6)</f>
        <v>93.2995</v>
      </c>
      <c r="AG87">
        <f t="shared" si="73"/>
        <v>0</v>
      </c>
      <c r="AH87">
        <f>((EW87*1.15))</f>
        <v>7.566999999999999</v>
      </c>
      <c r="AI87">
        <f>((EX87*1.15))</f>
        <v>0</v>
      </c>
      <c r="AJ87">
        <f t="shared" si="75"/>
        <v>0</v>
      </c>
      <c r="AK87">
        <v>493.84</v>
      </c>
      <c r="AL87">
        <v>0.42</v>
      </c>
      <c r="AM87">
        <v>412.29</v>
      </c>
      <c r="AN87">
        <v>95.74</v>
      </c>
      <c r="AO87">
        <v>81.13</v>
      </c>
      <c r="AP87">
        <v>0</v>
      </c>
      <c r="AQ87">
        <v>6.58</v>
      </c>
      <c r="AR87">
        <v>0</v>
      </c>
      <c r="AS87">
        <v>0</v>
      </c>
      <c r="AT87">
        <v>90</v>
      </c>
      <c r="AU87">
        <v>43</v>
      </c>
      <c r="AV87">
        <v>1.067</v>
      </c>
      <c r="AW87">
        <v>1.081</v>
      </c>
      <c r="AZ87">
        <v>1</v>
      </c>
      <c r="BA87">
        <v>20.4</v>
      </c>
      <c r="BB87">
        <v>8.89</v>
      </c>
      <c r="BC87">
        <v>5.24</v>
      </c>
      <c r="BH87">
        <v>0</v>
      </c>
      <c r="BI87">
        <v>2</v>
      </c>
      <c r="BJ87" t="s">
        <v>192</v>
      </c>
      <c r="BM87">
        <v>318</v>
      </c>
      <c r="BN87">
        <v>0</v>
      </c>
      <c r="BO87" t="s">
        <v>190</v>
      </c>
      <c r="BP87">
        <v>1</v>
      </c>
      <c r="BQ87">
        <v>40</v>
      </c>
      <c r="BR87">
        <v>0</v>
      </c>
      <c r="BS87">
        <v>20.4</v>
      </c>
      <c r="BT87">
        <v>1</v>
      </c>
      <c r="BU87">
        <v>1</v>
      </c>
      <c r="BV87">
        <v>1</v>
      </c>
      <c r="BW87">
        <v>1</v>
      </c>
      <c r="BX87">
        <v>1</v>
      </c>
      <c r="BZ87">
        <v>90</v>
      </c>
      <c r="CA87">
        <v>43</v>
      </c>
      <c r="CF87">
        <v>0</v>
      </c>
      <c r="CG87">
        <v>0</v>
      </c>
      <c r="CM87">
        <v>0</v>
      </c>
      <c r="CN87" t="s">
        <v>521</v>
      </c>
      <c r="CO87">
        <v>0</v>
      </c>
      <c r="CP87">
        <f t="shared" si="76"/>
        <v>33763.54</v>
      </c>
      <c r="CQ87">
        <f t="shared" si="77"/>
        <v>2.3790648</v>
      </c>
      <c r="CR87">
        <f>(((((ET87*1.15))*BB87-((EU87*1.15))*BS87)+AE87*BS87)*AV87)</f>
        <v>4497.454951604999</v>
      </c>
      <c r="CS87">
        <f t="shared" si="78"/>
        <v>2396.5464467999996</v>
      </c>
      <c r="CT87">
        <f t="shared" si="79"/>
        <v>2030.8315565999997</v>
      </c>
      <c r="CU87">
        <f t="shared" si="80"/>
        <v>0</v>
      </c>
      <c r="CV87">
        <f t="shared" si="81"/>
        <v>8.073989</v>
      </c>
      <c r="CW87">
        <f t="shared" si="82"/>
        <v>0</v>
      </c>
      <c r="CX87">
        <f t="shared" si="83"/>
        <v>0</v>
      </c>
      <c r="CY87">
        <f t="shared" si="84"/>
        <v>9449.46</v>
      </c>
      <c r="CZ87">
        <f t="shared" si="85"/>
        <v>4514.742</v>
      </c>
      <c r="DC87" t="s">
        <v>193</v>
      </c>
      <c r="DE87" t="s">
        <v>27</v>
      </c>
      <c r="DF87" t="s">
        <v>27</v>
      </c>
      <c r="DG87" t="s">
        <v>27</v>
      </c>
      <c r="DI87" t="s">
        <v>27</v>
      </c>
      <c r="DJ87" t="s">
        <v>27</v>
      </c>
      <c r="DN87">
        <v>112</v>
      </c>
      <c r="DO87">
        <v>70</v>
      </c>
      <c r="DP87">
        <v>1.067</v>
      </c>
      <c r="DQ87">
        <v>1.081</v>
      </c>
      <c r="DU87">
        <v>1003</v>
      </c>
      <c r="DV87" t="s">
        <v>47</v>
      </c>
      <c r="DW87" t="s">
        <v>47</v>
      </c>
      <c r="DX87">
        <v>100</v>
      </c>
      <c r="EE87">
        <v>34317733</v>
      </c>
      <c r="EF87">
        <v>40</v>
      </c>
      <c r="EG87" t="s">
        <v>49</v>
      </c>
      <c r="EH87">
        <v>0</v>
      </c>
      <c r="EJ87">
        <v>2</v>
      </c>
      <c r="EK87">
        <v>318</v>
      </c>
      <c r="EL87" t="s">
        <v>50</v>
      </c>
      <c r="EM87" t="s">
        <v>51</v>
      </c>
      <c r="EO87" t="s">
        <v>52</v>
      </c>
      <c r="EQ87">
        <v>0</v>
      </c>
      <c r="ER87">
        <v>493.84</v>
      </c>
      <c r="ES87">
        <v>0.42</v>
      </c>
      <c r="ET87">
        <v>412.29</v>
      </c>
      <c r="EU87">
        <v>95.74</v>
      </c>
      <c r="EV87">
        <v>81.13</v>
      </c>
      <c r="EW87">
        <v>6.58</v>
      </c>
      <c r="EX87">
        <v>0</v>
      </c>
      <c r="EY87">
        <v>0</v>
      </c>
      <c r="FQ87">
        <v>0</v>
      </c>
      <c r="FR87">
        <f t="shared" si="86"/>
        <v>0</v>
      </c>
      <c r="FS87">
        <v>0</v>
      </c>
      <c r="FX87">
        <v>112</v>
      </c>
      <c r="FY87">
        <v>70</v>
      </c>
      <c r="GD87">
        <v>0</v>
      </c>
      <c r="GF87">
        <v>583502152</v>
      </c>
      <c r="GG87">
        <v>2</v>
      </c>
      <c r="GH87">
        <v>1</v>
      </c>
      <c r="GI87">
        <v>2</v>
      </c>
      <c r="GJ87">
        <v>0</v>
      </c>
      <c r="GK87">
        <f>ROUND(R87*(R12)/100,2)</f>
        <v>20691.55</v>
      </c>
      <c r="GL87">
        <f t="shared" si="87"/>
        <v>0</v>
      </c>
      <c r="GM87">
        <f t="shared" si="88"/>
        <v>68419.29</v>
      </c>
      <c r="GN87">
        <f t="shared" si="89"/>
        <v>0</v>
      </c>
      <c r="GO87">
        <f t="shared" si="90"/>
        <v>68419.29</v>
      </c>
      <c r="GP87">
        <f t="shared" si="91"/>
        <v>0</v>
      </c>
      <c r="GT87">
        <v>0</v>
      </c>
      <c r="GU87">
        <v>1</v>
      </c>
      <c r="GV87">
        <v>0</v>
      </c>
      <c r="GW87">
        <v>0</v>
      </c>
      <c r="GX87">
        <f t="shared" si="92"/>
        <v>0</v>
      </c>
    </row>
    <row r="88" spans="1:206" ht="12.75">
      <c r="A88">
        <v>17</v>
      </c>
      <c r="B88">
        <v>1</v>
      </c>
      <c r="E88" t="s">
        <v>194</v>
      </c>
      <c r="F88" t="s">
        <v>62</v>
      </c>
      <c r="G88" t="s">
        <v>195</v>
      </c>
      <c r="H88" t="s">
        <v>165</v>
      </c>
      <c r="I88">
        <v>1078</v>
      </c>
      <c r="J88">
        <v>0</v>
      </c>
      <c r="O88">
        <f t="shared" si="59"/>
        <v>62125.14</v>
      </c>
      <c r="P88">
        <f t="shared" si="60"/>
        <v>62125.14</v>
      </c>
      <c r="Q88">
        <f t="shared" si="61"/>
        <v>0</v>
      </c>
      <c r="R88">
        <f t="shared" si="62"/>
        <v>0</v>
      </c>
      <c r="S88">
        <f t="shared" si="63"/>
        <v>0</v>
      </c>
      <c r="T88">
        <f t="shared" si="64"/>
        <v>0</v>
      </c>
      <c r="U88">
        <f t="shared" si="65"/>
        <v>0</v>
      </c>
      <c r="V88">
        <f t="shared" si="66"/>
        <v>0</v>
      </c>
      <c r="W88">
        <f t="shared" si="67"/>
        <v>0</v>
      </c>
      <c r="X88">
        <f t="shared" si="68"/>
        <v>0</v>
      </c>
      <c r="Y88">
        <f t="shared" si="69"/>
        <v>0</v>
      </c>
      <c r="AA88">
        <v>34388368</v>
      </c>
      <c r="AB88">
        <f>ROUND((AC88+AD88+AF88)+GT88,6)</f>
        <v>57.63</v>
      </c>
      <c r="AC88">
        <f t="shared" si="71"/>
        <v>57.63</v>
      </c>
      <c r="AD88">
        <f>ROUND((((ET88)-(EU88))+AE88),6)</f>
        <v>0</v>
      </c>
      <c r="AE88">
        <f>ROUND((EU88),6)</f>
        <v>0</v>
      </c>
      <c r="AF88">
        <f>ROUND((EV88),6)</f>
        <v>0</v>
      </c>
      <c r="AG88">
        <f t="shared" si="73"/>
        <v>0</v>
      </c>
      <c r="AH88">
        <f>(EW88)</f>
        <v>0</v>
      </c>
      <c r="AI88">
        <f>(EX88)</f>
        <v>0</v>
      </c>
      <c r="AJ88">
        <f t="shared" si="75"/>
        <v>0</v>
      </c>
      <c r="AK88">
        <v>57.63</v>
      </c>
      <c r="AL88">
        <v>57.63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1</v>
      </c>
      <c r="AW88">
        <v>1</v>
      </c>
      <c r="AZ88">
        <v>1</v>
      </c>
      <c r="BA88">
        <v>1</v>
      </c>
      <c r="BB88">
        <v>1</v>
      </c>
      <c r="BC88">
        <v>1</v>
      </c>
      <c r="BH88">
        <v>3</v>
      </c>
      <c r="BI88">
        <v>2</v>
      </c>
      <c r="BM88">
        <v>318</v>
      </c>
      <c r="BN88">
        <v>0</v>
      </c>
      <c r="BP88">
        <v>0</v>
      </c>
      <c r="BQ88">
        <v>40</v>
      </c>
      <c r="BR88">
        <v>0</v>
      </c>
      <c r="BS88">
        <v>1</v>
      </c>
      <c r="BT88">
        <v>1</v>
      </c>
      <c r="BU88">
        <v>1</v>
      </c>
      <c r="BV88">
        <v>1</v>
      </c>
      <c r="BW88">
        <v>1</v>
      </c>
      <c r="BX88">
        <v>1</v>
      </c>
      <c r="BZ88">
        <v>0</v>
      </c>
      <c r="CA88">
        <v>0</v>
      </c>
      <c r="CF88">
        <v>0</v>
      </c>
      <c r="CG88">
        <v>0</v>
      </c>
      <c r="CM88">
        <v>0</v>
      </c>
      <c r="CO88">
        <v>0</v>
      </c>
      <c r="CP88">
        <f t="shared" si="76"/>
        <v>62125.14</v>
      </c>
      <c r="CQ88">
        <f t="shared" si="77"/>
        <v>57.63</v>
      </c>
      <c r="CR88">
        <f>((((ET88)*BB88-(EU88)*BS88)+AE88*BS88)*AV88)</f>
        <v>0</v>
      </c>
      <c r="CS88">
        <f t="shared" si="78"/>
        <v>0</v>
      </c>
      <c r="CT88">
        <f t="shared" si="79"/>
        <v>0</v>
      </c>
      <c r="CU88">
        <f t="shared" si="80"/>
        <v>0</v>
      </c>
      <c r="CV88">
        <f t="shared" si="81"/>
        <v>0</v>
      </c>
      <c r="CW88">
        <f t="shared" si="82"/>
        <v>0</v>
      </c>
      <c r="CX88">
        <f t="shared" si="83"/>
        <v>0</v>
      </c>
      <c r="CY88">
        <f t="shared" si="84"/>
        <v>0</v>
      </c>
      <c r="CZ88">
        <f t="shared" si="85"/>
        <v>0</v>
      </c>
      <c r="DN88">
        <v>112</v>
      </c>
      <c r="DO88">
        <v>70</v>
      </c>
      <c r="DP88">
        <v>1.067</v>
      </c>
      <c r="DQ88">
        <v>1.081</v>
      </c>
      <c r="DU88">
        <v>1013</v>
      </c>
      <c r="DV88" t="s">
        <v>165</v>
      </c>
      <c r="DW88" t="s">
        <v>165</v>
      </c>
      <c r="DX88">
        <v>1</v>
      </c>
      <c r="EE88">
        <v>34317733</v>
      </c>
      <c r="EF88">
        <v>40</v>
      </c>
      <c r="EG88" t="s">
        <v>49</v>
      </c>
      <c r="EH88">
        <v>0</v>
      </c>
      <c r="EJ88">
        <v>2</v>
      </c>
      <c r="EK88">
        <v>318</v>
      </c>
      <c r="EL88" t="s">
        <v>50</v>
      </c>
      <c r="EM88" t="s">
        <v>51</v>
      </c>
      <c r="EQ88">
        <v>0</v>
      </c>
      <c r="ER88">
        <v>57.63</v>
      </c>
      <c r="ES88">
        <v>57.63</v>
      </c>
      <c r="ET88">
        <v>0</v>
      </c>
      <c r="EU88">
        <v>0</v>
      </c>
      <c r="EV88">
        <v>0</v>
      </c>
      <c r="EW88">
        <v>0</v>
      </c>
      <c r="EX88">
        <v>0</v>
      </c>
      <c r="EY88">
        <v>0</v>
      </c>
      <c r="EZ88">
        <v>5</v>
      </c>
      <c r="FC88">
        <v>1</v>
      </c>
      <c r="FD88">
        <v>18</v>
      </c>
      <c r="FF88">
        <v>68</v>
      </c>
      <c r="FQ88">
        <v>0</v>
      </c>
      <c r="FR88">
        <f t="shared" si="86"/>
        <v>0</v>
      </c>
      <c r="FS88">
        <v>0</v>
      </c>
      <c r="FX88">
        <v>112</v>
      </c>
      <c r="FY88">
        <v>70</v>
      </c>
      <c r="GA88" t="s">
        <v>196</v>
      </c>
      <c r="GD88">
        <v>0</v>
      </c>
      <c r="GF88">
        <v>-1428490643</v>
      </c>
      <c r="GG88">
        <v>2</v>
      </c>
      <c r="GH88">
        <v>3</v>
      </c>
      <c r="GI88">
        <v>-2</v>
      </c>
      <c r="GJ88">
        <v>0</v>
      </c>
      <c r="GK88">
        <f>ROUND(R88*(R12)/100,2)</f>
        <v>0</v>
      </c>
      <c r="GL88">
        <f t="shared" si="87"/>
        <v>0</v>
      </c>
      <c r="GM88">
        <f t="shared" si="88"/>
        <v>62125.14</v>
      </c>
      <c r="GN88">
        <f t="shared" si="89"/>
        <v>0</v>
      </c>
      <c r="GO88">
        <f t="shared" si="90"/>
        <v>62125.14</v>
      </c>
      <c r="GP88">
        <f t="shared" si="91"/>
        <v>0</v>
      </c>
      <c r="GT88">
        <v>0</v>
      </c>
      <c r="GU88">
        <v>1</v>
      </c>
      <c r="GV88">
        <v>0</v>
      </c>
      <c r="GW88">
        <v>0</v>
      </c>
      <c r="GX88">
        <f t="shared" si="92"/>
        <v>0</v>
      </c>
    </row>
    <row r="90" spans="1:118" ht="12.75">
      <c r="A90" s="2">
        <v>51</v>
      </c>
      <c r="B90" s="2">
        <f>B73</f>
        <v>1</v>
      </c>
      <c r="C90" s="2">
        <f>A73</f>
        <v>5</v>
      </c>
      <c r="D90" s="2">
        <f>ROW(A73)</f>
        <v>73</v>
      </c>
      <c r="E90" s="2"/>
      <c r="F90" s="2" t="str">
        <f>IF(F73&lt;&gt;"",F73,"")</f>
        <v>Новый подраздел</v>
      </c>
      <c r="G90" s="2" t="str">
        <f>IF(G73&lt;&gt;"",G73,"")</f>
        <v>Электромонтажные работы</v>
      </c>
      <c r="H90" s="2"/>
      <c r="I90" s="2"/>
      <c r="J90" s="2"/>
      <c r="K90" s="2"/>
      <c r="L90" s="2"/>
      <c r="M90" s="2"/>
      <c r="N90" s="2"/>
      <c r="O90" s="2">
        <f aca="true" t="shared" si="93" ref="O90:T90">ROUND(AB90,2)</f>
        <v>5828917.4</v>
      </c>
      <c r="P90" s="2">
        <f t="shared" si="93"/>
        <v>5118335.22</v>
      </c>
      <c r="Q90" s="2">
        <f t="shared" si="93"/>
        <v>217079.5</v>
      </c>
      <c r="R90" s="2">
        <f t="shared" si="93"/>
        <v>103854.25</v>
      </c>
      <c r="S90" s="2">
        <f t="shared" si="93"/>
        <v>493502.68</v>
      </c>
      <c r="T90" s="2">
        <f t="shared" si="93"/>
        <v>0</v>
      </c>
      <c r="U90" s="2">
        <f>AH90</f>
        <v>1936.5897394699996</v>
      </c>
      <c r="V90" s="2">
        <f>AI90</f>
        <v>0</v>
      </c>
      <c r="W90" s="2">
        <f>ROUND(AJ90,2)</f>
        <v>0</v>
      </c>
      <c r="X90" s="2">
        <f>ROUND(AK90,2)</f>
        <v>444152.41</v>
      </c>
      <c r="Y90" s="2">
        <f>ROUND(AL90,2)</f>
        <v>212206.14</v>
      </c>
      <c r="Z90" s="2"/>
      <c r="AA90" s="2"/>
      <c r="AB90" s="2">
        <f>ROUND(SUMIF(AA77:AA88,"=34388368",O77:O88),2)</f>
        <v>5828917.4</v>
      </c>
      <c r="AC90" s="2">
        <f>ROUND(SUMIF(AA77:AA88,"=34388368",P77:P88),2)</f>
        <v>5118335.22</v>
      </c>
      <c r="AD90" s="2">
        <f>ROUND(SUMIF(AA77:AA88,"=34388368",Q77:Q88),2)</f>
        <v>217079.5</v>
      </c>
      <c r="AE90" s="2">
        <f>ROUND(SUMIF(AA77:AA88,"=34388368",R77:R88),2)</f>
        <v>103854.25</v>
      </c>
      <c r="AF90" s="2">
        <f>ROUND(SUMIF(AA77:AA88,"=34388368",S77:S88),2)</f>
        <v>493502.68</v>
      </c>
      <c r="AG90" s="2">
        <f>ROUND(SUMIF(AA77:AA88,"=34388368",T77:T88),2)</f>
        <v>0</v>
      </c>
      <c r="AH90" s="2">
        <f>SUMIF(AA77:AA88,"=34388368",U77:U88)</f>
        <v>1936.5897394699996</v>
      </c>
      <c r="AI90" s="2">
        <f>SUMIF(AA77:AA88,"=34388368",V77:V88)</f>
        <v>0</v>
      </c>
      <c r="AJ90" s="2">
        <f>ROUND(SUMIF(AA77:AA88,"=34388368",W77:W88),2)</f>
        <v>0</v>
      </c>
      <c r="AK90" s="2">
        <f>ROUND(SUMIF(AA77:AA88,"=34388368",X77:X88),2)</f>
        <v>444152.41</v>
      </c>
      <c r="AL90" s="2">
        <f>ROUND(SUMIF(AA77:AA88,"=34388368",Y77:Y88),2)</f>
        <v>212206.14</v>
      </c>
      <c r="AM90" s="2"/>
      <c r="AN90" s="2"/>
      <c r="AO90" s="2">
        <f aca="true" t="shared" si="94" ref="AO90:AZ90">ROUND(BB90,2)</f>
        <v>0</v>
      </c>
      <c r="AP90" s="2">
        <f t="shared" si="94"/>
        <v>0</v>
      </c>
      <c r="AQ90" s="2">
        <f t="shared" si="94"/>
        <v>0</v>
      </c>
      <c r="AR90" s="2">
        <f t="shared" si="94"/>
        <v>6658712.55</v>
      </c>
      <c r="AS90" s="2">
        <f t="shared" si="94"/>
        <v>4855763.12</v>
      </c>
      <c r="AT90" s="2">
        <f t="shared" si="94"/>
        <v>1802949.43</v>
      </c>
      <c r="AU90" s="2">
        <f t="shared" si="94"/>
        <v>0</v>
      </c>
      <c r="AV90" s="2">
        <f t="shared" si="94"/>
        <v>5118335.22</v>
      </c>
      <c r="AW90" s="2">
        <f t="shared" si="94"/>
        <v>5118335.22</v>
      </c>
      <c r="AX90" s="2">
        <f t="shared" si="94"/>
        <v>0</v>
      </c>
      <c r="AY90" s="2">
        <f t="shared" si="94"/>
        <v>5118335.22</v>
      </c>
      <c r="AZ90" s="2">
        <f t="shared" si="94"/>
        <v>0</v>
      </c>
      <c r="BA90" s="2"/>
      <c r="BB90" s="2">
        <f>ROUND(SUMIF(AA77:AA88,"=34388368",FQ77:FQ88),2)</f>
        <v>0</v>
      </c>
      <c r="BC90" s="2">
        <f>ROUND(SUMIF(AA77:AA88,"=34388368",FR77:FR88),2)</f>
        <v>0</v>
      </c>
      <c r="BD90" s="2">
        <f>ROUND(SUMIF(AA77:AA88,"=34388368",GL77:GL88),2)</f>
        <v>0</v>
      </c>
      <c r="BE90" s="2">
        <f>ROUND(SUMIF(AA77:AA88,"=34388368",GM77:GM88),2)</f>
        <v>6658712.55</v>
      </c>
      <c r="BF90" s="2">
        <f>ROUND(SUMIF(AA77:AA88,"=34388368",GN77:GN88),2)</f>
        <v>4855763.12</v>
      </c>
      <c r="BG90" s="2">
        <f>ROUND(SUMIF(AA77:AA88,"=34388368",GO77:GO88),2)</f>
        <v>1802949.43</v>
      </c>
      <c r="BH90" s="2">
        <f>ROUND(SUMIF(AA77:AA88,"=34388368",GP77:GP88),2)</f>
        <v>0</v>
      </c>
      <c r="BI90" s="2">
        <f>AC90-BB90</f>
        <v>5118335.22</v>
      </c>
      <c r="BJ90" s="2">
        <f>AC90-BC90</f>
        <v>5118335.22</v>
      </c>
      <c r="BK90" s="2">
        <f>BB90-BD90</f>
        <v>0</v>
      </c>
      <c r="BL90" s="2">
        <f>AC90-BB90-BC90+BD90</f>
        <v>5118335.22</v>
      </c>
      <c r="BM90" s="2">
        <f>BC90-BD90</f>
        <v>0</v>
      </c>
      <c r="BN90" s="2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>
        <v>0</v>
      </c>
    </row>
    <row r="92" spans="1:16" ht="12.75">
      <c r="A92" s="4">
        <v>50</v>
      </c>
      <c r="B92" s="4">
        <v>0</v>
      </c>
      <c r="C92" s="4">
        <v>0</v>
      </c>
      <c r="D92" s="4">
        <v>1</v>
      </c>
      <c r="E92" s="4">
        <v>201</v>
      </c>
      <c r="F92" s="4">
        <f>ROUND(Source!O90,O92)</f>
        <v>5828917.4</v>
      </c>
      <c r="G92" s="4" t="s">
        <v>97</v>
      </c>
      <c r="H92" s="4" t="s">
        <v>98</v>
      </c>
      <c r="I92" s="4"/>
      <c r="J92" s="4"/>
      <c r="K92" s="4">
        <v>201</v>
      </c>
      <c r="L92" s="4">
        <v>1</v>
      </c>
      <c r="M92" s="4">
        <v>3</v>
      </c>
      <c r="N92" s="4" t="s">
        <v>6</v>
      </c>
      <c r="O92" s="4">
        <v>2</v>
      </c>
      <c r="P92" s="4"/>
    </row>
    <row r="93" spans="1:16" ht="12.75">
      <c r="A93" s="4">
        <v>50</v>
      </c>
      <c r="B93" s="4">
        <v>0</v>
      </c>
      <c r="C93" s="4">
        <v>0</v>
      </c>
      <c r="D93" s="4">
        <v>1</v>
      </c>
      <c r="E93" s="4">
        <v>202</v>
      </c>
      <c r="F93" s="4">
        <f>ROUND(Source!P90,O93)</f>
        <v>5118335.22</v>
      </c>
      <c r="G93" s="4" t="s">
        <v>99</v>
      </c>
      <c r="H93" s="4" t="s">
        <v>100</v>
      </c>
      <c r="I93" s="4"/>
      <c r="J93" s="4"/>
      <c r="K93" s="4">
        <v>202</v>
      </c>
      <c r="L93" s="4">
        <v>2</v>
      </c>
      <c r="M93" s="4">
        <v>3</v>
      </c>
      <c r="N93" s="4" t="s">
        <v>6</v>
      </c>
      <c r="O93" s="4">
        <v>2</v>
      </c>
      <c r="P93" s="4"/>
    </row>
    <row r="94" spans="1:16" ht="12.75">
      <c r="A94" s="4">
        <v>50</v>
      </c>
      <c r="B94" s="4">
        <v>0</v>
      </c>
      <c r="C94" s="4">
        <v>0</v>
      </c>
      <c r="D94" s="4">
        <v>1</v>
      </c>
      <c r="E94" s="4">
        <v>222</v>
      </c>
      <c r="F94" s="4">
        <f>ROUND(Source!AO90,O94)</f>
        <v>0</v>
      </c>
      <c r="G94" s="4" t="s">
        <v>101</v>
      </c>
      <c r="H94" s="4" t="s">
        <v>102</v>
      </c>
      <c r="I94" s="4"/>
      <c r="J94" s="4"/>
      <c r="K94" s="4">
        <v>222</v>
      </c>
      <c r="L94" s="4">
        <v>3</v>
      </c>
      <c r="M94" s="4">
        <v>3</v>
      </c>
      <c r="N94" s="4" t="s">
        <v>6</v>
      </c>
      <c r="O94" s="4">
        <v>2</v>
      </c>
      <c r="P94" s="4"/>
    </row>
    <row r="95" spans="1:16" ht="12.75">
      <c r="A95" s="4">
        <v>50</v>
      </c>
      <c r="B95" s="4">
        <v>0</v>
      </c>
      <c r="C95" s="4">
        <v>0</v>
      </c>
      <c r="D95" s="4">
        <v>1</v>
      </c>
      <c r="E95" s="4">
        <v>225</v>
      </c>
      <c r="F95" s="4">
        <f>ROUND(Source!AV90,O95)</f>
        <v>5118335.22</v>
      </c>
      <c r="G95" s="4" t="s">
        <v>103</v>
      </c>
      <c r="H95" s="4" t="s">
        <v>104</v>
      </c>
      <c r="I95" s="4"/>
      <c r="J95" s="4"/>
      <c r="K95" s="4">
        <v>225</v>
      </c>
      <c r="L95" s="4">
        <v>4</v>
      </c>
      <c r="M95" s="4">
        <v>3</v>
      </c>
      <c r="N95" s="4" t="s">
        <v>6</v>
      </c>
      <c r="O95" s="4">
        <v>2</v>
      </c>
      <c r="P95" s="4"/>
    </row>
    <row r="96" spans="1:16" ht="12.75">
      <c r="A96" s="4">
        <v>50</v>
      </c>
      <c r="B96" s="4">
        <v>0</v>
      </c>
      <c r="C96" s="4">
        <v>0</v>
      </c>
      <c r="D96" s="4">
        <v>1</v>
      </c>
      <c r="E96" s="4">
        <v>226</v>
      </c>
      <c r="F96" s="4">
        <f>ROUND(Source!AW90,O96)</f>
        <v>5118335.22</v>
      </c>
      <c r="G96" s="4" t="s">
        <v>105</v>
      </c>
      <c r="H96" s="4" t="s">
        <v>106</v>
      </c>
      <c r="I96" s="4"/>
      <c r="J96" s="4"/>
      <c r="K96" s="4">
        <v>226</v>
      </c>
      <c r="L96" s="4">
        <v>5</v>
      </c>
      <c r="M96" s="4">
        <v>3</v>
      </c>
      <c r="N96" s="4" t="s">
        <v>6</v>
      </c>
      <c r="O96" s="4">
        <v>2</v>
      </c>
      <c r="P96" s="4"/>
    </row>
    <row r="97" spans="1:16" ht="12.75">
      <c r="A97" s="4">
        <v>50</v>
      </c>
      <c r="B97" s="4">
        <v>0</v>
      </c>
      <c r="C97" s="4">
        <v>0</v>
      </c>
      <c r="D97" s="4">
        <v>1</v>
      </c>
      <c r="E97" s="4">
        <v>227</v>
      </c>
      <c r="F97" s="4">
        <f>ROUND(Source!AX90,O97)</f>
        <v>0</v>
      </c>
      <c r="G97" s="4" t="s">
        <v>107</v>
      </c>
      <c r="H97" s="4" t="s">
        <v>108</v>
      </c>
      <c r="I97" s="4"/>
      <c r="J97" s="4"/>
      <c r="K97" s="4">
        <v>227</v>
      </c>
      <c r="L97" s="4">
        <v>6</v>
      </c>
      <c r="M97" s="4">
        <v>3</v>
      </c>
      <c r="N97" s="4" t="s">
        <v>6</v>
      </c>
      <c r="O97" s="4">
        <v>2</v>
      </c>
      <c r="P97" s="4"/>
    </row>
    <row r="98" spans="1:16" ht="12.75">
      <c r="A98" s="4">
        <v>50</v>
      </c>
      <c r="B98" s="4">
        <v>0</v>
      </c>
      <c r="C98" s="4">
        <v>0</v>
      </c>
      <c r="D98" s="4">
        <v>1</v>
      </c>
      <c r="E98" s="4">
        <v>228</v>
      </c>
      <c r="F98" s="4">
        <f>ROUND(Source!AY90,O98)</f>
        <v>5118335.22</v>
      </c>
      <c r="G98" s="4" t="s">
        <v>109</v>
      </c>
      <c r="H98" s="4" t="s">
        <v>110</v>
      </c>
      <c r="I98" s="4"/>
      <c r="J98" s="4"/>
      <c r="K98" s="4">
        <v>228</v>
      </c>
      <c r="L98" s="4">
        <v>7</v>
      </c>
      <c r="M98" s="4">
        <v>3</v>
      </c>
      <c r="N98" s="4" t="s">
        <v>6</v>
      </c>
      <c r="O98" s="4">
        <v>2</v>
      </c>
      <c r="P98" s="4"/>
    </row>
    <row r="99" spans="1:16" ht="12.75">
      <c r="A99" s="4">
        <v>50</v>
      </c>
      <c r="B99" s="4">
        <v>0</v>
      </c>
      <c r="C99" s="4">
        <v>0</v>
      </c>
      <c r="D99" s="4">
        <v>1</v>
      </c>
      <c r="E99" s="4">
        <v>216</v>
      </c>
      <c r="F99" s="4">
        <f>ROUND(Source!AP90,O99)</f>
        <v>0</v>
      </c>
      <c r="G99" s="4" t="s">
        <v>111</v>
      </c>
      <c r="H99" s="4" t="s">
        <v>112</v>
      </c>
      <c r="I99" s="4"/>
      <c r="J99" s="4"/>
      <c r="K99" s="4">
        <v>216</v>
      </c>
      <c r="L99" s="4">
        <v>8</v>
      </c>
      <c r="M99" s="4">
        <v>3</v>
      </c>
      <c r="N99" s="4" t="s">
        <v>6</v>
      </c>
      <c r="O99" s="4">
        <v>2</v>
      </c>
      <c r="P99" s="4"/>
    </row>
    <row r="100" spans="1:16" ht="12.75">
      <c r="A100" s="4">
        <v>50</v>
      </c>
      <c r="B100" s="4">
        <v>0</v>
      </c>
      <c r="C100" s="4">
        <v>0</v>
      </c>
      <c r="D100" s="4">
        <v>1</v>
      </c>
      <c r="E100" s="4">
        <v>223</v>
      </c>
      <c r="F100" s="4">
        <f>ROUND(Source!AQ90,O100)</f>
        <v>0</v>
      </c>
      <c r="G100" s="4" t="s">
        <v>113</v>
      </c>
      <c r="H100" s="4" t="s">
        <v>114</v>
      </c>
      <c r="I100" s="4"/>
      <c r="J100" s="4"/>
      <c r="K100" s="4">
        <v>223</v>
      </c>
      <c r="L100" s="4">
        <v>9</v>
      </c>
      <c r="M100" s="4">
        <v>3</v>
      </c>
      <c r="N100" s="4" t="s">
        <v>6</v>
      </c>
      <c r="O100" s="4">
        <v>2</v>
      </c>
      <c r="P100" s="4"/>
    </row>
    <row r="101" spans="1:16" ht="12.75">
      <c r="A101" s="4">
        <v>50</v>
      </c>
      <c r="B101" s="4">
        <v>0</v>
      </c>
      <c r="C101" s="4">
        <v>0</v>
      </c>
      <c r="D101" s="4">
        <v>1</v>
      </c>
      <c r="E101" s="4">
        <v>229</v>
      </c>
      <c r="F101" s="4">
        <f>ROUND(Source!AZ90,O101)</f>
        <v>0</v>
      </c>
      <c r="G101" s="4" t="s">
        <v>115</v>
      </c>
      <c r="H101" s="4" t="s">
        <v>116</v>
      </c>
      <c r="I101" s="4"/>
      <c r="J101" s="4"/>
      <c r="K101" s="4">
        <v>229</v>
      </c>
      <c r="L101" s="4">
        <v>10</v>
      </c>
      <c r="M101" s="4">
        <v>3</v>
      </c>
      <c r="N101" s="4" t="s">
        <v>6</v>
      </c>
      <c r="O101" s="4">
        <v>2</v>
      </c>
      <c r="P101" s="4"/>
    </row>
    <row r="102" spans="1:16" ht="12.75">
      <c r="A102" s="4">
        <v>50</v>
      </c>
      <c r="B102" s="4">
        <v>0</v>
      </c>
      <c r="C102" s="4">
        <v>0</v>
      </c>
      <c r="D102" s="4">
        <v>1</v>
      </c>
      <c r="E102" s="4">
        <v>203</v>
      </c>
      <c r="F102" s="4">
        <f>ROUND(Source!Q90,O102)</f>
        <v>217079.5</v>
      </c>
      <c r="G102" s="4" t="s">
        <v>117</v>
      </c>
      <c r="H102" s="4" t="s">
        <v>118</v>
      </c>
      <c r="I102" s="4"/>
      <c r="J102" s="4"/>
      <c r="K102" s="4">
        <v>203</v>
      </c>
      <c r="L102" s="4">
        <v>11</v>
      </c>
      <c r="M102" s="4">
        <v>3</v>
      </c>
      <c r="N102" s="4" t="s">
        <v>6</v>
      </c>
      <c r="O102" s="4">
        <v>2</v>
      </c>
      <c r="P102" s="4"/>
    </row>
    <row r="103" spans="1:16" ht="12.75">
      <c r="A103" s="4">
        <v>50</v>
      </c>
      <c r="B103" s="4">
        <v>0</v>
      </c>
      <c r="C103" s="4">
        <v>0</v>
      </c>
      <c r="D103" s="4">
        <v>1</v>
      </c>
      <c r="E103" s="4">
        <v>204</v>
      </c>
      <c r="F103" s="4">
        <f>ROUND(Source!R90,O103)</f>
        <v>103854.25</v>
      </c>
      <c r="G103" s="4" t="s">
        <v>119</v>
      </c>
      <c r="H103" s="4" t="s">
        <v>120</v>
      </c>
      <c r="I103" s="4"/>
      <c r="J103" s="4"/>
      <c r="K103" s="4">
        <v>204</v>
      </c>
      <c r="L103" s="4">
        <v>12</v>
      </c>
      <c r="M103" s="4">
        <v>3</v>
      </c>
      <c r="N103" s="4" t="s">
        <v>6</v>
      </c>
      <c r="O103" s="4">
        <v>2</v>
      </c>
      <c r="P103" s="4"/>
    </row>
    <row r="104" spans="1:16" ht="12.75">
      <c r="A104" s="4">
        <v>50</v>
      </c>
      <c r="B104" s="4">
        <v>0</v>
      </c>
      <c r="C104" s="4">
        <v>0</v>
      </c>
      <c r="D104" s="4">
        <v>1</v>
      </c>
      <c r="E104" s="4">
        <v>205</v>
      </c>
      <c r="F104" s="4">
        <f>ROUND(Source!S90,O104)</f>
        <v>493502.68</v>
      </c>
      <c r="G104" s="4" t="s">
        <v>121</v>
      </c>
      <c r="H104" s="4" t="s">
        <v>122</v>
      </c>
      <c r="I104" s="4"/>
      <c r="J104" s="4"/>
      <c r="K104" s="4">
        <v>205</v>
      </c>
      <c r="L104" s="4">
        <v>13</v>
      </c>
      <c r="M104" s="4">
        <v>3</v>
      </c>
      <c r="N104" s="4" t="s">
        <v>6</v>
      </c>
      <c r="O104" s="4">
        <v>2</v>
      </c>
      <c r="P104" s="4"/>
    </row>
    <row r="105" spans="1:16" ht="12.75">
      <c r="A105" s="4">
        <v>50</v>
      </c>
      <c r="B105" s="4">
        <v>0</v>
      </c>
      <c r="C105" s="4">
        <v>0</v>
      </c>
      <c r="D105" s="4">
        <v>1</v>
      </c>
      <c r="E105" s="4">
        <v>214</v>
      </c>
      <c r="F105" s="4">
        <f>ROUND(Source!AS90,O105)</f>
        <v>4855763.12</v>
      </c>
      <c r="G105" s="4" t="s">
        <v>123</v>
      </c>
      <c r="H105" s="4" t="s">
        <v>124</v>
      </c>
      <c r="I105" s="4"/>
      <c r="J105" s="4"/>
      <c r="K105" s="4">
        <v>214</v>
      </c>
      <c r="L105" s="4">
        <v>14</v>
      </c>
      <c r="M105" s="4">
        <v>3</v>
      </c>
      <c r="N105" s="4" t="s">
        <v>6</v>
      </c>
      <c r="O105" s="4">
        <v>2</v>
      </c>
      <c r="P105" s="4"/>
    </row>
    <row r="106" spans="1:16" ht="12.75">
      <c r="A106" s="4">
        <v>50</v>
      </c>
      <c r="B106" s="4">
        <v>0</v>
      </c>
      <c r="C106" s="4">
        <v>0</v>
      </c>
      <c r="D106" s="4">
        <v>1</v>
      </c>
      <c r="E106" s="4">
        <v>215</v>
      </c>
      <c r="F106" s="4">
        <f>ROUND(Source!AT90,O106)</f>
        <v>1802949.43</v>
      </c>
      <c r="G106" s="4" t="s">
        <v>125</v>
      </c>
      <c r="H106" s="4" t="s">
        <v>126</v>
      </c>
      <c r="I106" s="4"/>
      <c r="J106" s="4"/>
      <c r="K106" s="4">
        <v>215</v>
      </c>
      <c r="L106" s="4">
        <v>15</v>
      </c>
      <c r="M106" s="4">
        <v>3</v>
      </c>
      <c r="N106" s="4" t="s">
        <v>6</v>
      </c>
      <c r="O106" s="4">
        <v>2</v>
      </c>
      <c r="P106" s="4"/>
    </row>
    <row r="107" spans="1:16" ht="12.75">
      <c r="A107" s="4">
        <v>50</v>
      </c>
      <c r="B107" s="4">
        <v>0</v>
      </c>
      <c r="C107" s="4">
        <v>0</v>
      </c>
      <c r="D107" s="4">
        <v>1</v>
      </c>
      <c r="E107" s="4">
        <v>217</v>
      </c>
      <c r="F107" s="4">
        <f>ROUND(Source!AU90,O107)</f>
        <v>0</v>
      </c>
      <c r="G107" s="4" t="s">
        <v>127</v>
      </c>
      <c r="H107" s="4" t="s">
        <v>128</v>
      </c>
      <c r="I107" s="4"/>
      <c r="J107" s="4"/>
      <c r="K107" s="4">
        <v>217</v>
      </c>
      <c r="L107" s="4">
        <v>16</v>
      </c>
      <c r="M107" s="4">
        <v>3</v>
      </c>
      <c r="N107" s="4" t="s">
        <v>6</v>
      </c>
      <c r="O107" s="4">
        <v>2</v>
      </c>
      <c r="P107" s="4"/>
    </row>
    <row r="108" spans="1:16" ht="12.75">
      <c r="A108" s="4">
        <v>50</v>
      </c>
      <c r="B108" s="4">
        <v>0</v>
      </c>
      <c r="C108" s="4">
        <v>0</v>
      </c>
      <c r="D108" s="4">
        <v>1</v>
      </c>
      <c r="E108" s="4">
        <v>206</v>
      </c>
      <c r="F108" s="4">
        <f>ROUND(Source!T90,O108)</f>
        <v>0</v>
      </c>
      <c r="G108" s="4" t="s">
        <v>129</v>
      </c>
      <c r="H108" s="4" t="s">
        <v>130</v>
      </c>
      <c r="I108" s="4"/>
      <c r="J108" s="4"/>
      <c r="K108" s="4">
        <v>206</v>
      </c>
      <c r="L108" s="4">
        <v>17</v>
      </c>
      <c r="M108" s="4">
        <v>3</v>
      </c>
      <c r="N108" s="4" t="s">
        <v>6</v>
      </c>
      <c r="O108" s="4">
        <v>2</v>
      </c>
      <c r="P108" s="4"/>
    </row>
    <row r="109" spans="1:16" ht="12.75">
      <c r="A109" s="4">
        <v>50</v>
      </c>
      <c r="B109" s="4">
        <v>0</v>
      </c>
      <c r="C109" s="4">
        <v>0</v>
      </c>
      <c r="D109" s="4">
        <v>1</v>
      </c>
      <c r="E109" s="4">
        <v>207</v>
      </c>
      <c r="F109" s="4">
        <f>Source!U90</f>
        <v>1936.5897394699996</v>
      </c>
      <c r="G109" s="4" t="s">
        <v>131</v>
      </c>
      <c r="H109" s="4" t="s">
        <v>132</v>
      </c>
      <c r="I109" s="4"/>
      <c r="J109" s="4"/>
      <c r="K109" s="4">
        <v>207</v>
      </c>
      <c r="L109" s="4">
        <v>18</v>
      </c>
      <c r="M109" s="4">
        <v>3</v>
      </c>
      <c r="N109" s="4" t="s">
        <v>6</v>
      </c>
      <c r="O109" s="4">
        <v>-1</v>
      </c>
      <c r="P109" s="4"/>
    </row>
    <row r="110" spans="1:16" ht="12.75">
      <c r="A110" s="4">
        <v>50</v>
      </c>
      <c r="B110" s="4">
        <v>0</v>
      </c>
      <c r="C110" s="4">
        <v>0</v>
      </c>
      <c r="D110" s="4">
        <v>1</v>
      </c>
      <c r="E110" s="4">
        <v>208</v>
      </c>
      <c r="F110" s="4">
        <f>Source!V90</f>
        <v>0</v>
      </c>
      <c r="G110" s="4" t="s">
        <v>133</v>
      </c>
      <c r="H110" s="4" t="s">
        <v>134</v>
      </c>
      <c r="I110" s="4"/>
      <c r="J110" s="4"/>
      <c r="K110" s="4">
        <v>208</v>
      </c>
      <c r="L110" s="4">
        <v>19</v>
      </c>
      <c r="M110" s="4">
        <v>3</v>
      </c>
      <c r="N110" s="4" t="s">
        <v>6</v>
      </c>
      <c r="O110" s="4">
        <v>-1</v>
      </c>
      <c r="P110" s="4"/>
    </row>
    <row r="111" spans="1:16" ht="12.75">
      <c r="A111" s="4">
        <v>50</v>
      </c>
      <c r="B111" s="4">
        <v>0</v>
      </c>
      <c r="C111" s="4">
        <v>0</v>
      </c>
      <c r="D111" s="4">
        <v>1</v>
      </c>
      <c r="E111" s="4">
        <v>209</v>
      </c>
      <c r="F111" s="4">
        <f>ROUND(Source!W90,O111)</f>
        <v>0</v>
      </c>
      <c r="G111" s="4" t="s">
        <v>135</v>
      </c>
      <c r="H111" s="4" t="s">
        <v>136</v>
      </c>
      <c r="I111" s="4"/>
      <c r="J111" s="4"/>
      <c r="K111" s="4">
        <v>209</v>
      </c>
      <c r="L111" s="4">
        <v>20</v>
      </c>
      <c r="M111" s="4">
        <v>3</v>
      </c>
      <c r="N111" s="4" t="s">
        <v>6</v>
      </c>
      <c r="O111" s="4">
        <v>2</v>
      </c>
      <c r="P111" s="4"/>
    </row>
    <row r="112" spans="1:16" ht="12.75">
      <c r="A112" s="4">
        <v>50</v>
      </c>
      <c r="B112" s="4">
        <v>0</v>
      </c>
      <c r="C112" s="4">
        <v>0</v>
      </c>
      <c r="D112" s="4">
        <v>1</v>
      </c>
      <c r="E112" s="4">
        <v>210</v>
      </c>
      <c r="F112" s="4">
        <f>ROUND(Source!X90,O112)</f>
        <v>444152.41</v>
      </c>
      <c r="G112" s="4" t="s">
        <v>137</v>
      </c>
      <c r="H112" s="4" t="s">
        <v>138</v>
      </c>
      <c r="I112" s="4"/>
      <c r="J112" s="4"/>
      <c r="K112" s="4">
        <v>210</v>
      </c>
      <c r="L112" s="4">
        <v>21</v>
      </c>
      <c r="M112" s="4">
        <v>3</v>
      </c>
      <c r="N112" s="4" t="s">
        <v>6</v>
      </c>
      <c r="O112" s="4">
        <v>2</v>
      </c>
      <c r="P112" s="4"/>
    </row>
    <row r="113" spans="1:16" ht="12.75">
      <c r="A113" s="4">
        <v>50</v>
      </c>
      <c r="B113" s="4">
        <v>0</v>
      </c>
      <c r="C113" s="4">
        <v>0</v>
      </c>
      <c r="D113" s="4">
        <v>1</v>
      </c>
      <c r="E113" s="4">
        <v>211</v>
      </c>
      <c r="F113" s="4">
        <f>ROUND(Source!Y90,O113)</f>
        <v>212206.14</v>
      </c>
      <c r="G113" s="4" t="s">
        <v>139</v>
      </c>
      <c r="H113" s="4" t="s">
        <v>140</v>
      </c>
      <c r="I113" s="4"/>
      <c r="J113" s="4"/>
      <c r="K113" s="4">
        <v>211</v>
      </c>
      <c r="L113" s="4">
        <v>22</v>
      </c>
      <c r="M113" s="4">
        <v>3</v>
      </c>
      <c r="N113" s="4" t="s">
        <v>6</v>
      </c>
      <c r="O113" s="4">
        <v>2</v>
      </c>
      <c r="P113" s="4"/>
    </row>
    <row r="114" spans="1:16" ht="12.75">
      <c r="A114" s="4">
        <v>50</v>
      </c>
      <c r="B114" s="4">
        <v>0</v>
      </c>
      <c r="C114" s="4">
        <v>0</v>
      </c>
      <c r="D114" s="4">
        <v>1</v>
      </c>
      <c r="E114" s="4">
        <v>224</v>
      </c>
      <c r="F114" s="4">
        <f>ROUND(Source!AR90,O114)</f>
        <v>6658712.55</v>
      </c>
      <c r="G114" s="4" t="s">
        <v>141</v>
      </c>
      <c r="H114" s="4" t="s">
        <v>142</v>
      </c>
      <c r="I114" s="4"/>
      <c r="J114" s="4"/>
      <c r="K114" s="4">
        <v>224</v>
      </c>
      <c r="L114" s="4">
        <v>23</v>
      </c>
      <c r="M114" s="4">
        <v>3</v>
      </c>
      <c r="N114" s="4" t="s">
        <v>6</v>
      </c>
      <c r="O114" s="4">
        <v>2</v>
      </c>
      <c r="P114" s="4"/>
    </row>
    <row r="116" spans="1:88" ht="12.75">
      <c r="A116" s="1">
        <v>5</v>
      </c>
      <c r="B116" s="1">
        <v>1</v>
      </c>
      <c r="C116" s="1"/>
      <c r="D116" s="1">
        <f>ROW(A124)</f>
        <v>124</v>
      </c>
      <c r="E116" s="1"/>
      <c r="F116" s="1" t="s">
        <v>19</v>
      </c>
      <c r="G116" s="1" t="s">
        <v>197</v>
      </c>
      <c r="H116" s="1" t="s">
        <v>6</v>
      </c>
      <c r="I116" s="1">
        <v>0</v>
      </c>
      <c r="J116" s="1"/>
      <c r="K116" s="1">
        <v>0</v>
      </c>
      <c r="L116" s="1"/>
      <c r="M116" s="1"/>
      <c r="N116" s="1"/>
      <c r="O116" s="1"/>
      <c r="P116" s="1"/>
      <c r="Q116" s="1"/>
      <c r="R116" s="1"/>
      <c r="S116" s="1"/>
      <c r="T116" s="1"/>
      <c r="U116" s="1" t="s">
        <v>6</v>
      </c>
      <c r="V116" s="1">
        <v>0</v>
      </c>
      <c r="W116" s="1"/>
      <c r="X116" s="1"/>
      <c r="Y116" s="1"/>
      <c r="Z116" s="1"/>
      <c r="AA116" s="1"/>
      <c r="AB116" s="1" t="s">
        <v>6</v>
      </c>
      <c r="AC116" s="1" t="s">
        <v>6</v>
      </c>
      <c r="AD116" s="1" t="s">
        <v>6</v>
      </c>
      <c r="AE116" s="1" t="s">
        <v>6</v>
      </c>
      <c r="AF116" s="1" t="s">
        <v>6</v>
      </c>
      <c r="AG116" s="1" t="s">
        <v>6</v>
      </c>
      <c r="AH116" s="1"/>
      <c r="AI116" s="1"/>
      <c r="AJ116" s="1"/>
      <c r="AK116" s="1"/>
      <c r="AL116" s="1"/>
      <c r="AM116" s="1"/>
      <c r="AN116" s="1"/>
      <c r="AO116" s="1"/>
      <c r="AP116" s="1" t="s">
        <v>6</v>
      </c>
      <c r="AQ116" s="1" t="s">
        <v>6</v>
      </c>
      <c r="AR116" s="1" t="s">
        <v>6</v>
      </c>
      <c r="AS116" s="1"/>
      <c r="AT116" s="1"/>
      <c r="AU116" s="1"/>
      <c r="AV116" s="1"/>
      <c r="AW116" s="1"/>
      <c r="AX116" s="1"/>
      <c r="AY116" s="1"/>
      <c r="AZ116" s="1" t="s">
        <v>6</v>
      </c>
      <c r="BA116" s="1"/>
      <c r="BB116" s="1" t="s">
        <v>6</v>
      </c>
      <c r="BC116" s="1" t="s">
        <v>6</v>
      </c>
      <c r="BD116" s="1" t="s">
        <v>6</v>
      </c>
      <c r="BE116" s="1" t="s">
        <v>6</v>
      </c>
      <c r="BF116" s="1" t="s">
        <v>6</v>
      </c>
      <c r="BG116" s="1" t="s">
        <v>6</v>
      </c>
      <c r="BH116" s="1" t="s">
        <v>6</v>
      </c>
      <c r="BI116" s="1" t="s">
        <v>6</v>
      </c>
      <c r="BJ116" s="1" t="s">
        <v>6</v>
      </c>
      <c r="BK116" s="1" t="s">
        <v>6</v>
      </c>
      <c r="BL116" s="1" t="s">
        <v>6</v>
      </c>
      <c r="BM116" s="1" t="s">
        <v>6</v>
      </c>
      <c r="BN116" s="1" t="s">
        <v>6</v>
      </c>
      <c r="BO116" s="1" t="s">
        <v>6</v>
      </c>
      <c r="BP116" s="1" t="s">
        <v>6</v>
      </c>
      <c r="BQ116" s="1"/>
      <c r="BR116" s="1"/>
      <c r="BS116" s="1"/>
      <c r="BT116" s="1"/>
      <c r="BU116" s="1"/>
      <c r="BV116" s="1"/>
      <c r="BW116" s="1"/>
      <c r="BX116" s="1">
        <v>0</v>
      </c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>
        <v>0</v>
      </c>
    </row>
    <row r="118" spans="1:118" ht="12.75">
      <c r="A118" s="2">
        <v>52</v>
      </c>
      <c r="B118" s="2">
        <f aca="true" t="shared" si="95" ref="B118:G118">B124</f>
        <v>1</v>
      </c>
      <c r="C118" s="2">
        <f t="shared" si="95"/>
        <v>5</v>
      </c>
      <c r="D118" s="2">
        <f t="shared" si="95"/>
        <v>116</v>
      </c>
      <c r="E118" s="2">
        <f t="shared" si="95"/>
        <v>0</v>
      </c>
      <c r="F118" s="2" t="str">
        <f t="shared" si="95"/>
        <v>Новый подраздел</v>
      </c>
      <c r="G118" s="2" t="str">
        <f t="shared" si="95"/>
        <v>Пусконаладочные работы</v>
      </c>
      <c r="H118" s="2"/>
      <c r="I118" s="2"/>
      <c r="J118" s="2"/>
      <c r="K118" s="2"/>
      <c r="L118" s="2"/>
      <c r="M118" s="2"/>
      <c r="N118" s="2"/>
      <c r="O118" s="2">
        <f aca="true" t="shared" si="96" ref="O118:AT118">O124</f>
        <v>302482.26</v>
      </c>
      <c r="P118" s="2">
        <f t="shared" si="96"/>
        <v>0</v>
      </c>
      <c r="Q118" s="2">
        <f t="shared" si="96"/>
        <v>83190.24</v>
      </c>
      <c r="R118" s="2">
        <f t="shared" si="96"/>
        <v>34090.85</v>
      </c>
      <c r="S118" s="2">
        <f t="shared" si="96"/>
        <v>219292.02</v>
      </c>
      <c r="T118" s="2">
        <f t="shared" si="96"/>
        <v>0</v>
      </c>
      <c r="U118" s="2">
        <f t="shared" si="96"/>
        <v>674.7</v>
      </c>
      <c r="V118" s="2">
        <f t="shared" si="96"/>
        <v>0</v>
      </c>
      <c r="W118" s="2">
        <f t="shared" si="96"/>
        <v>0</v>
      </c>
      <c r="X118" s="2">
        <f t="shared" si="96"/>
        <v>149118.58</v>
      </c>
      <c r="Y118" s="2">
        <f t="shared" si="96"/>
        <v>89909.73</v>
      </c>
      <c r="Z118" s="2">
        <f t="shared" si="96"/>
        <v>0</v>
      </c>
      <c r="AA118" s="2">
        <f t="shared" si="96"/>
        <v>0</v>
      </c>
      <c r="AB118" s="2">
        <f t="shared" si="96"/>
        <v>302482.26</v>
      </c>
      <c r="AC118" s="2">
        <f t="shared" si="96"/>
        <v>0</v>
      </c>
      <c r="AD118" s="2">
        <f t="shared" si="96"/>
        <v>83190.24</v>
      </c>
      <c r="AE118" s="2">
        <f t="shared" si="96"/>
        <v>34090.85</v>
      </c>
      <c r="AF118" s="2">
        <f t="shared" si="96"/>
        <v>219292.02</v>
      </c>
      <c r="AG118" s="2">
        <f t="shared" si="96"/>
        <v>0</v>
      </c>
      <c r="AH118" s="2">
        <f t="shared" si="96"/>
        <v>674.7</v>
      </c>
      <c r="AI118" s="2">
        <f t="shared" si="96"/>
        <v>0</v>
      </c>
      <c r="AJ118" s="2">
        <f t="shared" si="96"/>
        <v>0</v>
      </c>
      <c r="AK118" s="2">
        <f t="shared" si="96"/>
        <v>149118.58</v>
      </c>
      <c r="AL118" s="2">
        <f t="shared" si="96"/>
        <v>89909.73</v>
      </c>
      <c r="AM118" s="2">
        <f t="shared" si="96"/>
        <v>0</v>
      </c>
      <c r="AN118" s="2">
        <f t="shared" si="96"/>
        <v>0</v>
      </c>
      <c r="AO118" s="2">
        <f t="shared" si="96"/>
        <v>0</v>
      </c>
      <c r="AP118" s="2">
        <f t="shared" si="96"/>
        <v>0</v>
      </c>
      <c r="AQ118" s="2">
        <f t="shared" si="96"/>
        <v>0</v>
      </c>
      <c r="AR118" s="2">
        <f t="shared" si="96"/>
        <v>598442.29</v>
      </c>
      <c r="AS118" s="2">
        <f t="shared" si="96"/>
        <v>140121.96</v>
      </c>
      <c r="AT118" s="2">
        <f t="shared" si="96"/>
        <v>0</v>
      </c>
      <c r="AU118" s="2">
        <f aca="true" t="shared" si="97" ref="AU118:BZ118">AU124</f>
        <v>458320.33</v>
      </c>
      <c r="AV118" s="2">
        <f t="shared" si="97"/>
        <v>0</v>
      </c>
      <c r="AW118" s="2">
        <f t="shared" si="97"/>
        <v>0</v>
      </c>
      <c r="AX118" s="2">
        <f t="shared" si="97"/>
        <v>0</v>
      </c>
      <c r="AY118" s="2">
        <f t="shared" si="97"/>
        <v>0</v>
      </c>
      <c r="AZ118" s="2">
        <f t="shared" si="97"/>
        <v>0</v>
      </c>
      <c r="BA118" s="2">
        <f t="shared" si="97"/>
        <v>0</v>
      </c>
      <c r="BB118" s="2">
        <f t="shared" si="97"/>
        <v>0</v>
      </c>
      <c r="BC118" s="2">
        <f t="shared" si="97"/>
        <v>0</v>
      </c>
      <c r="BD118" s="2">
        <f t="shared" si="97"/>
        <v>0</v>
      </c>
      <c r="BE118" s="2">
        <f t="shared" si="97"/>
        <v>598442.29</v>
      </c>
      <c r="BF118" s="2">
        <f t="shared" si="97"/>
        <v>140121.96</v>
      </c>
      <c r="BG118" s="2">
        <f t="shared" si="97"/>
        <v>0</v>
      </c>
      <c r="BH118" s="2">
        <f t="shared" si="97"/>
        <v>458320.33</v>
      </c>
      <c r="BI118" s="2">
        <f t="shared" si="97"/>
        <v>0</v>
      </c>
      <c r="BJ118" s="2">
        <f t="shared" si="97"/>
        <v>0</v>
      </c>
      <c r="BK118" s="2">
        <f t="shared" si="97"/>
        <v>0</v>
      </c>
      <c r="BL118" s="2">
        <f t="shared" si="97"/>
        <v>0</v>
      </c>
      <c r="BM118" s="2">
        <f t="shared" si="97"/>
        <v>0</v>
      </c>
      <c r="BN118" s="2">
        <f t="shared" si="97"/>
        <v>0</v>
      </c>
      <c r="BO118" s="3">
        <f t="shared" si="97"/>
        <v>0</v>
      </c>
      <c r="BP118" s="3">
        <f t="shared" si="97"/>
        <v>0</v>
      </c>
      <c r="BQ118" s="3">
        <f t="shared" si="97"/>
        <v>0</v>
      </c>
      <c r="BR118" s="3">
        <f t="shared" si="97"/>
        <v>0</v>
      </c>
      <c r="BS118" s="3">
        <f t="shared" si="97"/>
        <v>0</v>
      </c>
      <c r="BT118" s="3">
        <f t="shared" si="97"/>
        <v>0</v>
      </c>
      <c r="BU118" s="3">
        <f t="shared" si="97"/>
        <v>0</v>
      </c>
      <c r="BV118" s="3">
        <f t="shared" si="97"/>
        <v>0</v>
      </c>
      <c r="BW118" s="3">
        <f t="shared" si="97"/>
        <v>0</v>
      </c>
      <c r="BX118" s="3">
        <f t="shared" si="97"/>
        <v>0</v>
      </c>
      <c r="BY118" s="3">
        <f t="shared" si="97"/>
        <v>0</v>
      </c>
      <c r="BZ118" s="3">
        <f t="shared" si="97"/>
        <v>0</v>
      </c>
      <c r="CA118" s="3">
        <f aca="true" t="shared" si="98" ref="CA118:DF118">CA124</f>
        <v>0</v>
      </c>
      <c r="CB118" s="3">
        <f t="shared" si="98"/>
        <v>0</v>
      </c>
      <c r="CC118" s="3">
        <f t="shared" si="98"/>
        <v>0</v>
      </c>
      <c r="CD118" s="3">
        <f t="shared" si="98"/>
        <v>0</v>
      </c>
      <c r="CE118" s="3">
        <f t="shared" si="98"/>
        <v>0</v>
      </c>
      <c r="CF118" s="3">
        <f t="shared" si="98"/>
        <v>0</v>
      </c>
      <c r="CG118" s="3">
        <f t="shared" si="98"/>
        <v>0</v>
      </c>
      <c r="CH118" s="3">
        <f t="shared" si="98"/>
        <v>0</v>
      </c>
      <c r="CI118" s="3">
        <f t="shared" si="98"/>
        <v>0</v>
      </c>
      <c r="CJ118" s="3">
        <f t="shared" si="98"/>
        <v>0</v>
      </c>
      <c r="CK118" s="3">
        <f t="shared" si="98"/>
        <v>0</v>
      </c>
      <c r="CL118" s="3">
        <f t="shared" si="98"/>
        <v>0</v>
      </c>
      <c r="CM118" s="3">
        <f t="shared" si="98"/>
        <v>0</v>
      </c>
      <c r="CN118" s="3">
        <f t="shared" si="98"/>
        <v>0</v>
      </c>
      <c r="CO118" s="3">
        <f t="shared" si="98"/>
        <v>0</v>
      </c>
      <c r="CP118" s="3">
        <f t="shared" si="98"/>
        <v>0</v>
      </c>
      <c r="CQ118" s="3">
        <f t="shared" si="98"/>
        <v>0</v>
      </c>
      <c r="CR118" s="3">
        <f t="shared" si="98"/>
        <v>0</v>
      </c>
      <c r="CS118" s="3">
        <f t="shared" si="98"/>
        <v>0</v>
      </c>
      <c r="CT118" s="3">
        <f t="shared" si="98"/>
        <v>0</v>
      </c>
      <c r="CU118" s="3">
        <f t="shared" si="98"/>
        <v>0</v>
      </c>
      <c r="CV118" s="3">
        <f t="shared" si="98"/>
        <v>0</v>
      </c>
      <c r="CW118" s="3">
        <f t="shared" si="98"/>
        <v>0</v>
      </c>
      <c r="CX118" s="3">
        <f t="shared" si="98"/>
        <v>0</v>
      </c>
      <c r="CY118" s="3">
        <f t="shared" si="98"/>
        <v>0</v>
      </c>
      <c r="CZ118" s="3">
        <f t="shared" si="98"/>
        <v>0</v>
      </c>
      <c r="DA118" s="3">
        <f t="shared" si="98"/>
        <v>0</v>
      </c>
      <c r="DB118" s="3">
        <f t="shared" si="98"/>
        <v>0</v>
      </c>
      <c r="DC118" s="3">
        <f t="shared" si="98"/>
        <v>0</v>
      </c>
      <c r="DD118" s="3">
        <f t="shared" si="98"/>
        <v>0</v>
      </c>
      <c r="DE118" s="3">
        <f t="shared" si="98"/>
        <v>0</v>
      </c>
      <c r="DF118" s="3">
        <f t="shared" si="98"/>
        <v>0</v>
      </c>
      <c r="DG118" s="3">
        <f aca="true" t="shared" si="99" ref="DG118:DN118">DG124</f>
        <v>0</v>
      </c>
      <c r="DH118" s="3">
        <f t="shared" si="99"/>
        <v>0</v>
      </c>
      <c r="DI118" s="3">
        <f t="shared" si="99"/>
        <v>0</v>
      </c>
      <c r="DJ118" s="3">
        <f t="shared" si="99"/>
        <v>0</v>
      </c>
      <c r="DK118" s="3">
        <f t="shared" si="99"/>
        <v>0</v>
      </c>
      <c r="DL118" s="3">
        <f t="shared" si="99"/>
        <v>0</v>
      </c>
      <c r="DM118" s="3">
        <f t="shared" si="99"/>
        <v>0</v>
      </c>
      <c r="DN118" s="3">
        <f t="shared" si="99"/>
        <v>0</v>
      </c>
    </row>
    <row r="120" spans="1:206" ht="12.75">
      <c r="A120">
        <v>17</v>
      </c>
      <c r="B120">
        <v>1</v>
      </c>
      <c r="E120" t="s">
        <v>198</v>
      </c>
      <c r="F120" t="s">
        <v>199</v>
      </c>
      <c r="G120" t="s">
        <v>200</v>
      </c>
      <c r="H120" t="s">
        <v>201</v>
      </c>
      <c r="I120">
        <v>6</v>
      </c>
      <c r="J120">
        <v>0</v>
      </c>
      <c r="O120">
        <f>ROUND(CP120+GX120,2)</f>
        <v>164786.26</v>
      </c>
      <c r="P120">
        <f>ROUND(CQ120*I120,2)</f>
        <v>0</v>
      </c>
      <c r="Q120">
        <f>ROUND(CR120*I120,2)</f>
        <v>0</v>
      </c>
      <c r="R120">
        <f>ROUND(CS120*I120,2)</f>
        <v>0</v>
      </c>
      <c r="S120">
        <f>ROUND(CT120*I120,2)</f>
        <v>164786.26</v>
      </c>
      <c r="T120">
        <f>ROUND(CU120*I120,2)</f>
        <v>0</v>
      </c>
      <c r="U120">
        <f>CV120*I120</f>
        <v>507</v>
      </c>
      <c r="V120">
        <f>CW120*I120</f>
        <v>0</v>
      </c>
      <c r="W120">
        <f>ROUND(CX120*I120,2)</f>
        <v>0</v>
      </c>
      <c r="X120">
        <f aca="true" t="shared" si="100" ref="X120:Y122">ROUND(CY120,2)</f>
        <v>112054.66</v>
      </c>
      <c r="Y120">
        <f t="shared" si="100"/>
        <v>67562.37</v>
      </c>
      <c r="AA120">
        <v>34388368</v>
      </c>
      <c r="AB120">
        <f>ROUND((AC120+AD120+AF120)+GT120,6)</f>
        <v>1346.293</v>
      </c>
      <c r="AC120">
        <f>ROUND((ES120),6)</f>
        <v>0</v>
      </c>
      <c r="AD120">
        <f>ROUND((((ET120)-(EU120))+AE120),6)</f>
        <v>0</v>
      </c>
      <c r="AE120">
        <f>ROUND((EU120),6)</f>
        <v>0</v>
      </c>
      <c r="AF120">
        <f>ROUND(((EV120*1.3)),6)</f>
        <v>1346.293</v>
      </c>
      <c r="AG120">
        <f>ROUND((AP120),6)</f>
        <v>0</v>
      </c>
      <c r="AH120">
        <f>((EW120*1.3))</f>
        <v>84.5</v>
      </c>
      <c r="AI120">
        <f>(EX120)</f>
        <v>0</v>
      </c>
      <c r="AJ120">
        <f>ROUND((AS120),6)</f>
        <v>0</v>
      </c>
      <c r="AK120">
        <v>1035.61</v>
      </c>
      <c r="AL120">
        <v>0</v>
      </c>
      <c r="AM120">
        <v>0</v>
      </c>
      <c r="AN120">
        <v>0</v>
      </c>
      <c r="AO120">
        <v>1035.61</v>
      </c>
      <c r="AP120">
        <v>0</v>
      </c>
      <c r="AQ120">
        <v>65</v>
      </c>
      <c r="AR120">
        <v>0</v>
      </c>
      <c r="AS120">
        <v>0</v>
      </c>
      <c r="AT120">
        <v>68</v>
      </c>
      <c r="AU120">
        <v>41</v>
      </c>
      <c r="AV120">
        <v>1</v>
      </c>
      <c r="AW120">
        <v>1</v>
      </c>
      <c r="AZ120">
        <v>1</v>
      </c>
      <c r="BA120">
        <v>20.4</v>
      </c>
      <c r="BB120">
        <v>1</v>
      </c>
      <c r="BC120">
        <v>1</v>
      </c>
      <c r="BH120">
        <v>0</v>
      </c>
      <c r="BI120">
        <v>4</v>
      </c>
      <c r="BJ120" t="s">
        <v>202</v>
      </c>
      <c r="BM120">
        <v>388</v>
      </c>
      <c r="BN120">
        <v>0</v>
      </c>
      <c r="BP120">
        <v>0</v>
      </c>
      <c r="BQ120">
        <v>50</v>
      </c>
      <c r="BR120">
        <v>0</v>
      </c>
      <c r="BS120">
        <v>1</v>
      </c>
      <c r="BT120">
        <v>1</v>
      </c>
      <c r="BU120">
        <v>1</v>
      </c>
      <c r="BV120">
        <v>1</v>
      </c>
      <c r="BW120">
        <v>1</v>
      </c>
      <c r="BX120">
        <v>1</v>
      </c>
      <c r="BZ120">
        <v>68</v>
      </c>
      <c r="CA120">
        <v>41</v>
      </c>
      <c r="CF120">
        <v>0</v>
      </c>
      <c r="CG120">
        <v>0</v>
      </c>
      <c r="CM120">
        <v>0</v>
      </c>
      <c r="CN120" t="s">
        <v>203</v>
      </c>
      <c r="CO120">
        <v>0</v>
      </c>
      <c r="CP120">
        <f>(P120+Q120+S120)</f>
        <v>164786.26</v>
      </c>
      <c r="CQ120">
        <f>(AC120*BC120*AW120)</f>
        <v>0</v>
      </c>
      <c r="CR120">
        <f>((((ET120)*BB120-(EU120)*BS120)+AE120*BS120)*AV120)</f>
        <v>0</v>
      </c>
      <c r="CS120">
        <f>(AE120*BS120*AV120)</f>
        <v>0</v>
      </c>
      <c r="CT120">
        <f>(AF120*BA120*AV120)</f>
        <v>27464.377199999995</v>
      </c>
      <c r="CU120">
        <f>AG120</f>
        <v>0</v>
      </c>
      <c r="CV120">
        <f>(AH120*AV120)</f>
        <v>84.5</v>
      </c>
      <c r="CW120">
        <f aca="true" t="shared" si="101" ref="CW120:CX122">AI120</f>
        <v>0</v>
      </c>
      <c r="CX120">
        <f t="shared" si="101"/>
        <v>0</v>
      </c>
      <c r="CY120">
        <f>S120*(BZ120/100)</f>
        <v>112054.65680000001</v>
      </c>
      <c r="CZ120">
        <f>S120*(CA120/100)</f>
        <v>67562.3666</v>
      </c>
      <c r="DG120" t="s">
        <v>204</v>
      </c>
      <c r="DI120" t="s">
        <v>204</v>
      </c>
      <c r="DN120">
        <v>75</v>
      </c>
      <c r="DO120">
        <v>70</v>
      </c>
      <c r="DP120">
        <v>1</v>
      </c>
      <c r="DQ120">
        <v>1</v>
      </c>
      <c r="DU120">
        <v>1013</v>
      </c>
      <c r="DV120" t="s">
        <v>201</v>
      </c>
      <c r="DW120" t="s">
        <v>201</v>
      </c>
      <c r="DX120">
        <v>1</v>
      </c>
      <c r="EE120">
        <v>34317803</v>
      </c>
      <c r="EF120">
        <v>50</v>
      </c>
      <c r="EG120" t="s">
        <v>197</v>
      </c>
      <c r="EH120">
        <v>0</v>
      </c>
      <c r="EJ120">
        <v>4</v>
      </c>
      <c r="EK120">
        <v>388</v>
      </c>
      <c r="EL120" t="s">
        <v>205</v>
      </c>
      <c r="EM120" t="s">
        <v>206</v>
      </c>
      <c r="EO120" t="s">
        <v>207</v>
      </c>
      <c r="EQ120">
        <v>0</v>
      </c>
      <c r="ER120">
        <v>1035.61</v>
      </c>
      <c r="ES120">
        <v>0</v>
      </c>
      <c r="ET120">
        <v>0</v>
      </c>
      <c r="EU120">
        <v>0</v>
      </c>
      <c r="EV120">
        <v>1035.61</v>
      </c>
      <c r="EW120">
        <v>65</v>
      </c>
      <c r="EX120">
        <v>0</v>
      </c>
      <c r="EY120">
        <v>0</v>
      </c>
      <c r="FQ120">
        <v>0</v>
      </c>
      <c r="FR120">
        <f>ROUND(IF(AND(BH120=3,BI120=3),P120,0),2)</f>
        <v>0</v>
      </c>
      <c r="FS120">
        <v>0</v>
      </c>
      <c r="FX120">
        <v>75</v>
      </c>
      <c r="FY120">
        <v>70</v>
      </c>
      <c r="GD120">
        <v>0</v>
      </c>
      <c r="GF120">
        <v>436824776</v>
      </c>
      <c r="GG120">
        <v>2</v>
      </c>
      <c r="GH120">
        <v>1</v>
      </c>
      <c r="GI120">
        <v>2</v>
      </c>
      <c r="GJ120">
        <v>0</v>
      </c>
      <c r="GK120">
        <f>ROUND(R120*(R12)/100,2)</f>
        <v>0</v>
      </c>
      <c r="GL120">
        <f>ROUND(IF(AND(BH120=3,BI120=3,FS120&lt;&gt;0),P120,0),2)</f>
        <v>0</v>
      </c>
      <c r="GM120">
        <f>O120+X120+Y120+GK120</f>
        <v>344403.29000000004</v>
      </c>
      <c r="GN120">
        <f>ROUND(IF(OR(BI120=0,BI120=1),O120+X120+Y120+GK120-GX120,0),2)</f>
        <v>0</v>
      </c>
      <c r="GO120">
        <f>ROUND(IF(BI120=2,O120+X120+Y120+GK120-GX120,0),2)</f>
        <v>0</v>
      </c>
      <c r="GP120">
        <f>ROUND(IF(BI120=4,O120+X120+Y120+GK120,GX120),2)</f>
        <v>344403.29</v>
      </c>
      <c r="GT120">
        <v>0</v>
      </c>
      <c r="GU120">
        <v>1</v>
      </c>
      <c r="GV120">
        <v>0</v>
      </c>
      <c r="GW120">
        <v>0</v>
      </c>
      <c r="GX120">
        <f>ROUND(GT120*GU120*I120,2)</f>
        <v>0</v>
      </c>
    </row>
    <row r="121" spans="1:206" ht="12.75">
      <c r="A121">
        <v>17</v>
      </c>
      <c r="B121">
        <v>1</v>
      </c>
      <c r="E121" t="s">
        <v>208</v>
      </c>
      <c r="F121" t="s">
        <v>209</v>
      </c>
      <c r="G121" t="s">
        <v>210</v>
      </c>
      <c r="H121" t="s">
        <v>211</v>
      </c>
      <c r="I121">
        <v>72</v>
      </c>
      <c r="J121">
        <v>0</v>
      </c>
      <c r="O121">
        <f>ROUND(CP121+GX121,2)</f>
        <v>83190.24</v>
      </c>
      <c r="P121">
        <f>ROUND(CQ121*I121,2)</f>
        <v>0</v>
      </c>
      <c r="Q121">
        <f>ROUND(CR121*I121,2)</f>
        <v>83190.24</v>
      </c>
      <c r="R121">
        <f>ROUND(CS121*I121,2)</f>
        <v>34090.85</v>
      </c>
      <c r="S121">
        <f>ROUND(CT121*I121,2)</f>
        <v>0</v>
      </c>
      <c r="T121">
        <f>ROUND(CU121*I121,2)</f>
        <v>0</v>
      </c>
      <c r="U121">
        <f>CV121*I121</f>
        <v>0</v>
      </c>
      <c r="V121">
        <f>CW121*I121</f>
        <v>0</v>
      </c>
      <c r="W121">
        <f>ROUND(CX121*I121,2)</f>
        <v>0</v>
      </c>
      <c r="X121">
        <f t="shared" si="100"/>
        <v>0</v>
      </c>
      <c r="Y121">
        <f t="shared" si="100"/>
        <v>0</v>
      </c>
      <c r="AA121">
        <v>34388368</v>
      </c>
      <c r="AB121">
        <f>ROUND((AC121+AD121+AF121)+GT121,6)</f>
        <v>128.38</v>
      </c>
      <c r="AC121">
        <f>ROUND((ES121),6)</f>
        <v>0</v>
      </c>
      <c r="AD121">
        <f>ROUND((((ET121)-(EU121))+AE121),6)</f>
        <v>128.38</v>
      </c>
      <c r="AE121">
        <f>ROUND((EU121),6)</f>
        <v>23.21</v>
      </c>
      <c r="AF121">
        <f>ROUND((EV121),6)</f>
        <v>0</v>
      </c>
      <c r="AG121">
        <f>ROUND((AP121),6)</f>
        <v>0</v>
      </c>
      <c r="AH121">
        <f>(EW121)</f>
        <v>0</v>
      </c>
      <c r="AI121">
        <f>(EX121)</f>
        <v>0</v>
      </c>
      <c r="AJ121">
        <f>ROUND((AS121),6)</f>
        <v>0</v>
      </c>
      <c r="AK121">
        <v>128.38</v>
      </c>
      <c r="AL121">
        <v>0</v>
      </c>
      <c r="AM121">
        <v>128.38</v>
      </c>
      <c r="AN121">
        <v>23.21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0</v>
      </c>
      <c r="AU121">
        <v>0</v>
      </c>
      <c r="AV121">
        <v>1</v>
      </c>
      <c r="AW121">
        <v>1</v>
      </c>
      <c r="AZ121">
        <v>1</v>
      </c>
      <c r="BA121">
        <v>1</v>
      </c>
      <c r="BB121">
        <v>9</v>
      </c>
      <c r="BC121">
        <v>1</v>
      </c>
      <c r="BH121">
        <v>2</v>
      </c>
      <c r="BI121">
        <v>1</v>
      </c>
      <c r="BJ121" t="s">
        <v>212</v>
      </c>
      <c r="BM121">
        <v>400001</v>
      </c>
      <c r="BN121">
        <v>0</v>
      </c>
      <c r="BO121" t="s">
        <v>209</v>
      </c>
      <c r="BP121">
        <v>1</v>
      </c>
      <c r="BQ121">
        <v>190</v>
      </c>
      <c r="BR121">
        <v>0</v>
      </c>
      <c r="BS121">
        <v>20.4</v>
      </c>
      <c r="BT121">
        <v>1</v>
      </c>
      <c r="BU121">
        <v>1</v>
      </c>
      <c r="BV121">
        <v>1</v>
      </c>
      <c r="BW121">
        <v>1</v>
      </c>
      <c r="BX121">
        <v>1</v>
      </c>
      <c r="BZ121">
        <v>0</v>
      </c>
      <c r="CA121">
        <v>0</v>
      </c>
      <c r="CF121">
        <v>0</v>
      </c>
      <c r="CG121">
        <v>0</v>
      </c>
      <c r="CM121">
        <v>0</v>
      </c>
      <c r="CO121">
        <v>0</v>
      </c>
      <c r="CP121">
        <f>(P121+Q121+S121)</f>
        <v>83190.24</v>
      </c>
      <c r="CQ121">
        <f>(AC121*BC121*AW121)</f>
        <v>0</v>
      </c>
      <c r="CR121">
        <f>((((ET121)*BB121-(EU121)*BS121)+AE121*BS121)*AV121)</f>
        <v>1155.42</v>
      </c>
      <c r="CS121">
        <f>(AE121*BS121*AV121)</f>
        <v>473.484</v>
      </c>
      <c r="CT121">
        <f>(AF121*BA121*AV121)</f>
        <v>0</v>
      </c>
      <c r="CU121">
        <f>AG121</f>
        <v>0</v>
      </c>
      <c r="CV121">
        <f>(AH121*AV121)</f>
        <v>0</v>
      </c>
      <c r="CW121">
        <f t="shared" si="101"/>
        <v>0</v>
      </c>
      <c r="CX121">
        <f t="shared" si="101"/>
        <v>0</v>
      </c>
      <c r="CY121">
        <f>S121*(BZ121/100)</f>
        <v>0</v>
      </c>
      <c r="CZ121">
        <f>S121*(CA121/100)</f>
        <v>0</v>
      </c>
      <c r="DN121">
        <v>0</v>
      </c>
      <c r="DO121">
        <v>0</v>
      </c>
      <c r="DP121">
        <v>1</v>
      </c>
      <c r="DQ121">
        <v>1</v>
      </c>
      <c r="DU121">
        <v>1011</v>
      </c>
      <c r="DV121" t="s">
        <v>211</v>
      </c>
      <c r="DW121" t="s">
        <v>211</v>
      </c>
      <c r="DX121">
        <v>1</v>
      </c>
      <c r="EE121">
        <v>34319228</v>
      </c>
      <c r="EF121">
        <v>190</v>
      </c>
      <c r="EG121" t="s">
        <v>213</v>
      </c>
      <c r="EH121">
        <v>0</v>
      </c>
      <c r="EJ121">
        <v>1</v>
      </c>
      <c r="EK121">
        <v>400001</v>
      </c>
      <c r="EL121" t="s">
        <v>214</v>
      </c>
      <c r="EM121" t="s">
        <v>215</v>
      </c>
      <c r="EQ121">
        <v>0</v>
      </c>
      <c r="ER121">
        <v>128.38</v>
      </c>
      <c r="ES121">
        <v>0</v>
      </c>
      <c r="ET121">
        <v>128.38</v>
      </c>
      <c r="EU121">
        <v>23.21</v>
      </c>
      <c r="EV121">
        <v>0</v>
      </c>
      <c r="EW121">
        <v>0</v>
      </c>
      <c r="EX121">
        <v>0</v>
      </c>
      <c r="EY121">
        <v>0</v>
      </c>
      <c r="FQ121">
        <v>0</v>
      </c>
      <c r="FR121">
        <f>ROUND(IF(AND(BH121=3,BI121=3),P121,0),2)</f>
        <v>0</v>
      </c>
      <c r="FS121">
        <v>0</v>
      </c>
      <c r="FX121">
        <v>0</v>
      </c>
      <c r="FY121">
        <v>0</v>
      </c>
      <c r="GD121">
        <v>0</v>
      </c>
      <c r="GF121">
        <v>848901054</v>
      </c>
      <c r="GG121">
        <v>2</v>
      </c>
      <c r="GH121">
        <v>1</v>
      </c>
      <c r="GI121">
        <v>2</v>
      </c>
      <c r="GJ121">
        <v>0</v>
      </c>
      <c r="GK121">
        <f>ROUND(R121*(R12)/100,2)</f>
        <v>56931.72</v>
      </c>
      <c r="GL121">
        <f>ROUND(IF(AND(BH121=3,BI121=3,FS121&lt;&gt;0),P121,0),2)</f>
        <v>0</v>
      </c>
      <c r="GM121">
        <f>O121+X121+Y121+GK121</f>
        <v>140121.96000000002</v>
      </c>
      <c r="GN121">
        <f>ROUND(IF(OR(BI121=0,BI121=1),O121+X121+Y121+GK121-GX121,0),2)</f>
        <v>140121.96</v>
      </c>
      <c r="GO121">
        <f>ROUND(IF(BI121=2,O121+X121+Y121+GK121-GX121,0),2)</f>
        <v>0</v>
      </c>
      <c r="GP121">
        <f>ROUND(IF(BI121=4,O121+X121+Y121+GK121,GX121),2)</f>
        <v>0</v>
      </c>
      <c r="GT121">
        <v>0</v>
      </c>
      <c r="GU121">
        <v>1</v>
      </c>
      <c r="GV121">
        <v>0</v>
      </c>
      <c r="GW121">
        <v>0</v>
      </c>
      <c r="GX121">
        <f>ROUND(GT121*GU121*I121,2)</f>
        <v>0</v>
      </c>
    </row>
    <row r="122" spans="1:206" ht="12.75">
      <c r="A122">
        <v>17</v>
      </c>
      <c r="B122">
        <v>1</v>
      </c>
      <c r="E122" t="s">
        <v>216</v>
      </c>
      <c r="F122" t="s">
        <v>217</v>
      </c>
      <c r="G122" t="s">
        <v>218</v>
      </c>
      <c r="H122" t="s">
        <v>219</v>
      </c>
      <c r="I122">
        <v>3</v>
      </c>
      <c r="J122">
        <v>0</v>
      </c>
      <c r="O122">
        <f>ROUND(CP122+GX122,2)</f>
        <v>54505.76</v>
      </c>
      <c r="P122">
        <f>ROUND(CQ122*I122,2)</f>
        <v>0</v>
      </c>
      <c r="Q122">
        <f>ROUND(CR122*I122,2)</f>
        <v>0</v>
      </c>
      <c r="R122">
        <f>ROUND(CS122*I122,2)</f>
        <v>0</v>
      </c>
      <c r="S122">
        <f>ROUND(CT122*I122,2)</f>
        <v>54505.76</v>
      </c>
      <c r="T122">
        <f>ROUND(CU122*I122,2)</f>
        <v>0</v>
      </c>
      <c r="U122">
        <f>CV122*I122</f>
        <v>167.7</v>
      </c>
      <c r="V122">
        <f>CW122*I122</f>
        <v>0</v>
      </c>
      <c r="W122">
        <f>ROUND(CX122*I122,2)</f>
        <v>0</v>
      </c>
      <c r="X122">
        <f t="shared" si="100"/>
        <v>37063.92</v>
      </c>
      <c r="Y122">
        <f t="shared" si="100"/>
        <v>22347.36</v>
      </c>
      <c r="AA122">
        <v>34388368</v>
      </c>
      <c r="AB122">
        <f>ROUND((AC122+AD122+AF122)+GT122,6)</f>
        <v>890.617</v>
      </c>
      <c r="AC122">
        <f>ROUND((ES122),6)</f>
        <v>0</v>
      </c>
      <c r="AD122">
        <f>ROUND((((ET122)-(EU122))+AE122),6)</f>
        <v>0</v>
      </c>
      <c r="AE122">
        <f>ROUND((EU122),6)</f>
        <v>0</v>
      </c>
      <c r="AF122">
        <f>ROUND(((EV122*1.3)),6)</f>
        <v>890.617</v>
      </c>
      <c r="AG122">
        <f>ROUND((AP122),6)</f>
        <v>0</v>
      </c>
      <c r="AH122">
        <f>((EW122*1.3))</f>
        <v>55.9</v>
      </c>
      <c r="AI122">
        <f>(EX122)</f>
        <v>0</v>
      </c>
      <c r="AJ122">
        <f>ROUND((AS122),6)</f>
        <v>0</v>
      </c>
      <c r="AK122">
        <v>685.09</v>
      </c>
      <c r="AL122">
        <v>0</v>
      </c>
      <c r="AM122">
        <v>0</v>
      </c>
      <c r="AN122">
        <v>0</v>
      </c>
      <c r="AO122">
        <v>685.09</v>
      </c>
      <c r="AP122">
        <v>0</v>
      </c>
      <c r="AQ122">
        <v>43</v>
      </c>
      <c r="AR122">
        <v>0</v>
      </c>
      <c r="AS122">
        <v>0</v>
      </c>
      <c r="AT122">
        <v>68</v>
      </c>
      <c r="AU122">
        <v>41</v>
      </c>
      <c r="AV122">
        <v>1</v>
      </c>
      <c r="AW122">
        <v>1</v>
      </c>
      <c r="AZ122">
        <v>1</v>
      </c>
      <c r="BA122">
        <v>20.4</v>
      </c>
      <c r="BB122">
        <v>1</v>
      </c>
      <c r="BC122">
        <v>1</v>
      </c>
      <c r="BH122">
        <v>0</v>
      </c>
      <c r="BI122">
        <v>4</v>
      </c>
      <c r="BJ122" t="s">
        <v>220</v>
      </c>
      <c r="BM122">
        <v>388</v>
      </c>
      <c r="BN122">
        <v>0</v>
      </c>
      <c r="BP122">
        <v>0</v>
      </c>
      <c r="BQ122">
        <v>50</v>
      </c>
      <c r="BR122">
        <v>0</v>
      </c>
      <c r="BS122">
        <v>1</v>
      </c>
      <c r="BT122">
        <v>1</v>
      </c>
      <c r="BU122">
        <v>1</v>
      </c>
      <c r="BV122">
        <v>1</v>
      </c>
      <c r="BW122">
        <v>1</v>
      </c>
      <c r="BX122">
        <v>1</v>
      </c>
      <c r="BZ122">
        <v>68</v>
      </c>
      <c r="CA122">
        <v>41</v>
      </c>
      <c r="CF122">
        <v>0</v>
      </c>
      <c r="CG122">
        <v>0</v>
      </c>
      <c r="CM122">
        <v>0</v>
      </c>
      <c r="CN122" t="s">
        <v>203</v>
      </c>
      <c r="CO122">
        <v>0</v>
      </c>
      <c r="CP122">
        <f>(P122+Q122+S122)</f>
        <v>54505.76</v>
      </c>
      <c r="CQ122">
        <f>(AC122*BC122*AW122)</f>
        <v>0</v>
      </c>
      <c r="CR122">
        <f>((((ET122)*BB122-(EU122)*BS122)+AE122*BS122)*AV122)</f>
        <v>0</v>
      </c>
      <c r="CS122">
        <f>(AE122*BS122*AV122)</f>
        <v>0</v>
      </c>
      <c r="CT122">
        <f>(AF122*BA122*AV122)</f>
        <v>18168.586799999997</v>
      </c>
      <c r="CU122">
        <f>AG122</f>
        <v>0</v>
      </c>
      <c r="CV122">
        <f>(AH122*AV122)</f>
        <v>55.9</v>
      </c>
      <c r="CW122">
        <f t="shared" si="101"/>
        <v>0</v>
      </c>
      <c r="CX122">
        <f t="shared" si="101"/>
        <v>0</v>
      </c>
      <c r="CY122">
        <f>S122*(BZ122/100)</f>
        <v>37063.916800000006</v>
      </c>
      <c r="CZ122">
        <f>S122*(CA122/100)</f>
        <v>22347.3616</v>
      </c>
      <c r="DG122" t="s">
        <v>204</v>
      </c>
      <c r="DI122" t="s">
        <v>204</v>
      </c>
      <c r="DN122">
        <v>75</v>
      </c>
      <c r="DO122">
        <v>70</v>
      </c>
      <c r="DP122">
        <v>1</v>
      </c>
      <c r="DQ122">
        <v>1</v>
      </c>
      <c r="DU122">
        <v>1013</v>
      </c>
      <c r="DV122" t="s">
        <v>219</v>
      </c>
      <c r="DW122" t="s">
        <v>219</v>
      </c>
      <c r="DX122">
        <v>1</v>
      </c>
      <c r="EE122">
        <v>34317803</v>
      </c>
      <c r="EF122">
        <v>50</v>
      </c>
      <c r="EG122" t="s">
        <v>197</v>
      </c>
      <c r="EH122">
        <v>0</v>
      </c>
      <c r="EJ122">
        <v>4</v>
      </c>
      <c r="EK122">
        <v>388</v>
      </c>
      <c r="EL122" t="s">
        <v>205</v>
      </c>
      <c r="EM122" t="s">
        <v>206</v>
      </c>
      <c r="EO122" t="s">
        <v>207</v>
      </c>
      <c r="EQ122">
        <v>0</v>
      </c>
      <c r="ER122">
        <v>685.09</v>
      </c>
      <c r="ES122">
        <v>0</v>
      </c>
      <c r="ET122">
        <v>0</v>
      </c>
      <c r="EU122">
        <v>0</v>
      </c>
      <c r="EV122">
        <v>685.09</v>
      </c>
      <c r="EW122">
        <v>43</v>
      </c>
      <c r="EX122">
        <v>0</v>
      </c>
      <c r="EY122">
        <v>0</v>
      </c>
      <c r="FQ122">
        <v>0</v>
      </c>
      <c r="FR122">
        <f>ROUND(IF(AND(BH122=3,BI122=3),P122,0),2)</f>
        <v>0</v>
      </c>
      <c r="FS122">
        <v>0</v>
      </c>
      <c r="FX122">
        <v>75</v>
      </c>
      <c r="FY122">
        <v>70</v>
      </c>
      <c r="GD122">
        <v>0</v>
      </c>
      <c r="GF122">
        <v>-234401587</v>
      </c>
      <c r="GG122">
        <v>2</v>
      </c>
      <c r="GH122">
        <v>1</v>
      </c>
      <c r="GI122">
        <v>2</v>
      </c>
      <c r="GJ122">
        <v>0</v>
      </c>
      <c r="GK122">
        <f>ROUND(R122*(R12)/100,2)</f>
        <v>0</v>
      </c>
      <c r="GL122">
        <f>ROUND(IF(AND(BH122=3,BI122=3,FS122&lt;&gt;0),P122,0),2)</f>
        <v>0</v>
      </c>
      <c r="GM122">
        <f>O122+X122+Y122+GK122</f>
        <v>113917.04</v>
      </c>
      <c r="GN122">
        <f>ROUND(IF(OR(BI122=0,BI122=1),O122+X122+Y122+GK122-GX122,0),2)</f>
        <v>0</v>
      </c>
      <c r="GO122">
        <f>ROUND(IF(BI122=2,O122+X122+Y122+GK122-GX122,0),2)</f>
        <v>0</v>
      </c>
      <c r="GP122">
        <f>ROUND(IF(BI122=4,O122+X122+Y122+GK122,GX122),2)</f>
        <v>113917.04</v>
      </c>
      <c r="GT122">
        <v>0</v>
      </c>
      <c r="GU122">
        <v>1</v>
      </c>
      <c r="GV122">
        <v>0</v>
      </c>
      <c r="GW122">
        <v>0</v>
      </c>
      <c r="GX122">
        <f>ROUND(GT122*GU122*I122,2)</f>
        <v>0</v>
      </c>
    </row>
    <row r="124" spans="1:118" ht="12.75">
      <c r="A124" s="2">
        <v>51</v>
      </c>
      <c r="B124" s="2">
        <f>B116</f>
        <v>1</v>
      </c>
      <c r="C124" s="2">
        <f>A116</f>
        <v>5</v>
      </c>
      <c r="D124" s="2">
        <f>ROW(A116)</f>
        <v>116</v>
      </c>
      <c r="E124" s="2"/>
      <c r="F124" s="2" t="str">
        <f>IF(F116&lt;&gt;"",F116,"")</f>
        <v>Новый подраздел</v>
      </c>
      <c r="G124" s="2" t="str">
        <f>IF(G116&lt;&gt;"",G116,"")</f>
        <v>Пусконаладочные работы</v>
      </c>
      <c r="H124" s="2"/>
      <c r="I124" s="2"/>
      <c r="J124" s="2"/>
      <c r="K124" s="2"/>
      <c r="L124" s="2"/>
      <c r="M124" s="2"/>
      <c r="N124" s="2"/>
      <c r="O124" s="2">
        <f aca="true" t="shared" si="102" ref="O124:T124">ROUND(AB124,2)</f>
        <v>302482.26</v>
      </c>
      <c r="P124" s="2">
        <f t="shared" si="102"/>
        <v>0</v>
      </c>
      <c r="Q124" s="2">
        <f t="shared" si="102"/>
        <v>83190.24</v>
      </c>
      <c r="R124" s="2">
        <f t="shared" si="102"/>
        <v>34090.85</v>
      </c>
      <c r="S124" s="2">
        <f t="shared" si="102"/>
        <v>219292.02</v>
      </c>
      <c r="T124" s="2">
        <f t="shared" si="102"/>
        <v>0</v>
      </c>
      <c r="U124" s="2">
        <f>AH124</f>
        <v>674.7</v>
      </c>
      <c r="V124" s="2">
        <f>AI124</f>
        <v>0</v>
      </c>
      <c r="W124" s="2">
        <f>ROUND(AJ124,2)</f>
        <v>0</v>
      </c>
      <c r="X124" s="2">
        <f>ROUND(AK124,2)</f>
        <v>149118.58</v>
      </c>
      <c r="Y124" s="2">
        <f>ROUND(AL124,2)</f>
        <v>89909.73</v>
      </c>
      <c r="Z124" s="2"/>
      <c r="AA124" s="2"/>
      <c r="AB124" s="2">
        <f>ROUND(SUMIF(AA120:AA122,"=34388368",O120:O122),2)</f>
        <v>302482.26</v>
      </c>
      <c r="AC124" s="2">
        <f>ROUND(SUMIF(AA120:AA122,"=34388368",P120:P122),2)</f>
        <v>0</v>
      </c>
      <c r="AD124" s="2">
        <f>ROUND(SUMIF(AA120:AA122,"=34388368",Q120:Q122),2)</f>
        <v>83190.24</v>
      </c>
      <c r="AE124" s="2">
        <f>ROUND(SUMIF(AA120:AA122,"=34388368",R120:R122),2)</f>
        <v>34090.85</v>
      </c>
      <c r="AF124" s="2">
        <f>ROUND(SUMIF(AA120:AA122,"=34388368",S120:S122),2)</f>
        <v>219292.02</v>
      </c>
      <c r="AG124" s="2">
        <f>ROUND(SUMIF(AA120:AA122,"=34388368",T120:T122),2)</f>
        <v>0</v>
      </c>
      <c r="AH124" s="2">
        <f>SUMIF(AA120:AA122,"=34388368",U120:U122)</f>
        <v>674.7</v>
      </c>
      <c r="AI124" s="2">
        <f>SUMIF(AA120:AA122,"=34388368",V120:V122)</f>
        <v>0</v>
      </c>
      <c r="AJ124" s="2">
        <f>ROUND(SUMIF(AA120:AA122,"=34388368",W120:W122),2)</f>
        <v>0</v>
      </c>
      <c r="AK124" s="2">
        <f>ROUND(SUMIF(AA120:AA122,"=34388368",X120:X122),2)</f>
        <v>149118.58</v>
      </c>
      <c r="AL124" s="2">
        <f>ROUND(SUMIF(AA120:AA122,"=34388368",Y120:Y122),2)</f>
        <v>89909.73</v>
      </c>
      <c r="AM124" s="2"/>
      <c r="AN124" s="2"/>
      <c r="AO124" s="2">
        <f aca="true" t="shared" si="103" ref="AO124:AZ124">ROUND(BB124,2)</f>
        <v>0</v>
      </c>
      <c r="AP124" s="2">
        <f t="shared" si="103"/>
        <v>0</v>
      </c>
      <c r="AQ124" s="2">
        <f t="shared" si="103"/>
        <v>0</v>
      </c>
      <c r="AR124" s="2">
        <f t="shared" si="103"/>
        <v>598442.29</v>
      </c>
      <c r="AS124" s="2">
        <f t="shared" si="103"/>
        <v>140121.96</v>
      </c>
      <c r="AT124" s="2">
        <f t="shared" si="103"/>
        <v>0</v>
      </c>
      <c r="AU124" s="2">
        <f t="shared" si="103"/>
        <v>458320.33</v>
      </c>
      <c r="AV124" s="2">
        <f t="shared" si="103"/>
        <v>0</v>
      </c>
      <c r="AW124" s="2">
        <f t="shared" si="103"/>
        <v>0</v>
      </c>
      <c r="AX124" s="2">
        <f t="shared" si="103"/>
        <v>0</v>
      </c>
      <c r="AY124" s="2">
        <f t="shared" si="103"/>
        <v>0</v>
      </c>
      <c r="AZ124" s="2">
        <f t="shared" si="103"/>
        <v>0</v>
      </c>
      <c r="BA124" s="2"/>
      <c r="BB124" s="2">
        <f>ROUND(SUMIF(AA120:AA122,"=34388368",FQ120:FQ122),2)</f>
        <v>0</v>
      </c>
      <c r="BC124" s="2">
        <f>ROUND(SUMIF(AA120:AA122,"=34388368",FR120:FR122),2)</f>
        <v>0</v>
      </c>
      <c r="BD124" s="2">
        <f>ROUND(SUMIF(AA120:AA122,"=34388368",GL120:GL122),2)</f>
        <v>0</v>
      </c>
      <c r="BE124" s="2">
        <f>ROUND(SUMIF(AA120:AA122,"=34388368",GM120:GM122),2)</f>
        <v>598442.29</v>
      </c>
      <c r="BF124" s="2">
        <f>ROUND(SUMIF(AA120:AA122,"=34388368",GN120:GN122),2)</f>
        <v>140121.96</v>
      </c>
      <c r="BG124" s="2">
        <f>ROUND(SUMIF(AA120:AA122,"=34388368",GO120:GO122),2)</f>
        <v>0</v>
      </c>
      <c r="BH124" s="2">
        <f>ROUND(SUMIF(AA120:AA122,"=34388368",GP120:GP122),2)</f>
        <v>458320.33</v>
      </c>
      <c r="BI124" s="2">
        <f>AC124-BB124</f>
        <v>0</v>
      </c>
      <c r="BJ124" s="2">
        <f>AC124-BC124</f>
        <v>0</v>
      </c>
      <c r="BK124" s="2">
        <f>BB124-BD124</f>
        <v>0</v>
      </c>
      <c r="BL124" s="2">
        <f>AC124-BB124-BC124+BD124</f>
        <v>0</v>
      </c>
      <c r="BM124" s="2">
        <f>BC124-BD124</f>
        <v>0</v>
      </c>
      <c r="BN124" s="2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>
        <v>0</v>
      </c>
    </row>
    <row r="126" spans="1:16" ht="12.75">
      <c r="A126" s="4">
        <v>50</v>
      </c>
      <c r="B126" s="4">
        <v>0</v>
      </c>
      <c r="C126" s="4">
        <v>0</v>
      </c>
      <c r="D126" s="4">
        <v>1</v>
      </c>
      <c r="E126" s="4">
        <v>201</v>
      </c>
      <c r="F126" s="4">
        <f>ROUND(Source!O124,O126)</f>
        <v>302482.26</v>
      </c>
      <c r="G126" s="4" t="s">
        <v>97</v>
      </c>
      <c r="H126" s="4" t="s">
        <v>98</v>
      </c>
      <c r="I126" s="4"/>
      <c r="J126" s="4"/>
      <c r="K126" s="4">
        <v>201</v>
      </c>
      <c r="L126" s="4">
        <v>1</v>
      </c>
      <c r="M126" s="4">
        <v>3</v>
      </c>
      <c r="N126" s="4" t="s">
        <v>6</v>
      </c>
      <c r="O126" s="4">
        <v>2</v>
      </c>
      <c r="P126" s="4"/>
    </row>
    <row r="127" spans="1:16" ht="12.75">
      <c r="A127" s="4">
        <v>50</v>
      </c>
      <c r="B127" s="4">
        <v>0</v>
      </c>
      <c r="C127" s="4">
        <v>0</v>
      </c>
      <c r="D127" s="4">
        <v>1</v>
      </c>
      <c r="E127" s="4">
        <v>202</v>
      </c>
      <c r="F127" s="4">
        <f>ROUND(Source!P124,O127)</f>
        <v>0</v>
      </c>
      <c r="G127" s="4" t="s">
        <v>99</v>
      </c>
      <c r="H127" s="4" t="s">
        <v>100</v>
      </c>
      <c r="I127" s="4"/>
      <c r="J127" s="4"/>
      <c r="K127" s="4">
        <v>202</v>
      </c>
      <c r="L127" s="4">
        <v>2</v>
      </c>
      <c r="M127" s="4">
        <v>3</v>
      </c>
      <c r="N127" s="4" t="s">
        <v>6</v>
      </c>
      <c r="O127" s="4">
        <v>2</v>
      </c>
      <c r="P127" s="4"/>
    </row>
    <row r="128" spans="1:16" ht="12.75">
      <c r="A128" s="4">
        <v>50</v>
      </c>
      <c r="B128" s="4">
        <v>0</v>
      </c>
      <c r="C128" s="4">
        <v>0</v>
      </c>
      <c r="D128" s="4">
        <v>1</v>
      </c>
      <c r="E128" s="4">
        <v>222</v>
      </c>
      <c r="F128" s="4">
        <f>ROUND(Source!AO124,O128)</f>
        <v>0</v>
      </c>
      <c r="G128" s="4" t="s">
        <v>101</v>
      </c>
      <c r="H128" s="4" t="s">
        <v>102</v>
      </c>
      <c r="I128" s="4"/>
      <c r="J128" s="4"/>
      <c r="K128" s="4">
        <v>222</v>
      </c>
      <c r="L128" s="4">
        <v>3</v>
      </c>
      <c r="M128" s="4">
        <v>3</v>
      </c>
      <c r="N128" s="4" t="s">
        <v>6</v>
      </c>
      <c r="O128" s="4">
        <v>2</v>
      </c>
      <c r="P128" s="4"/>
    </row>
    <row r="129" spans="1:16" ht="12.75">
      <c r="A129" s="4">
        <v>50</v>
      </c>
      <c r="B129" s="4">
        <v>0</v>
      </c>
      <c r="C129" s="4">
        <v>0</v>
      </c>
      <c r="D129" s="4">
        <v>1</v>
      </c>
      <c r="E129" s="4">
        <v>225</v>
      </c>
      <c r="F129" s="4">
        <f>ROUND(Source!AV124,O129)</f>
        <v>0</v>
      </c>
      <c r="G129" s="4" t="s">
        <v>103</v>
      </c>
      <c r="H129" s="4" t="s">
        <v>104</v>
      </c>
      <c r="I129" s="4"/>
      <c r="J129" s="4"/>
      <c r="K129" s="4">
        <v>225</v>
      </c>
      <c r="L129" s="4">
        <v>4</v>
      </c>
      <c r="M129" s="4">
        <v>3</v>
      </c>
      <c r="N129" s="4" t="s">
        <v>6</v>
      </c>
      <c r="O129" s="4">
        <v>2</v>
      </c>
      <c r="P129" s="4"/>
    </row>
    <row r="130" spans="1:16" ht="12.75">
      <c r="A130" s="4">
        <v>50</v>
      </c>
      <c r="B130" s="4">
        <v>0</v>
      </c>
      <c r="C130" s="4">
        <v>0</v>
      </c>
      <c r="D130" s="4">
        <v>1</v>
      </c>
      <c r="E130" s="4">
        <v>226</v>
      </c>
      <c r="F130" s="4">
        <f>ROUND(Source!AW124,O130)</f>
        <v>0</v>
      </c>
      <c r="G130" s="4" t="s">
        <v>105</v>
      </c>
      <c r="H130" s="4" t="s">
        <v>106</v>
      </c>
      <c r="I130" s="4"/>
      <c r="J130" s="4"/>
      <c r="K130" s="4">
        <v>226</v>
      </c>
      <c r="L130" s="4">
        <v>5</v>
      </c>
      <c r="M130" s="4">
        <v>3</v>
      </c>
      <c r="N130" s="4" t="s">
        <v>6</v>
      </c>
      <c r="O130" s="4">
        <v>2</v>
      </c>
      <c r="P130" s="4"/>
    </row>
    <row r="131" spans="1:16" ht="12.75">
      <c r="A131" s="4">
        <v>50</v>
      </c>
      <c r="B131" s="4">
        <v>0</v>
      </c>
      <c r="C131" s="4">
        <v>0</v>
      </c>
      <c r="D131" s="4">
        <v>1</v>
      </c>
      <c r="E131" s="4">
        <v>227</v>
      </c>
      <c r="F131" s="4">
        <f>ROUND(Source!AX124,O131)</f>
        <v>0</v>
      </c>
      <c r="G131" s="4" t="s">
        <v>107</v>
      </c>
      <c r="H131" s="4" t="s">
        <v>108</v>
      </c>
      <c r="I131" s="4"/>
      <c r="J131" s="4"/>
      <c r="K131" s="4">
        <v>227</v>
      </c>
      <c r="L131" s="4">
        <v>6</v>
      </c>
      <c r="M131" s="4">
        <v>3</v>
      </c>
      <c r="N131" s="4" t="s">
        <v>6</v>
      </c>
      <c r="O131" s="4">
        <v>2</v>
      </c>
      <c r="P131" s="4"/>
    </row>
    <row r="132" spans="1:16" ht="12.75">
      <c r="A132" s="4">
        <v>50</v>
      </c>
      <c r="B132" s="4">
        <v>0</v>
      </c>
      <c r="C132" s="4">
        <v>0</v>
      </c>
      <c r="D132" s="4">
        <v>1</v>
      </c>
      <c r="E132" s="4">
        <v>228</v>
      </c>
      <c r="F132" s="4">
        <f>ROUND(Source!AY124,O132)</f>
        <v>0</v>
      </c>
      <c r="G132" s="4" t="s">
        <v>109</v>
      </c>
      <c r="H132" s="4" t="s">
        <v>110</v>
      </c>
      <c r="I132" s="4"/>
      <c r="J132" s="4"/>
      <c r="K132" s="4">
        <v>228</v>
      </c>
      <c r="L132" s="4">
        <v>7</v>
      </c>
      <c r="M132" s="4">
        <v>3</v>
      </c>
      <c r="N132" s="4" t="s">
        <v>6</v>
      </c>
      <c r="O132" s="4">
        <v>2</v>
      </c>
      <c r="P132" s="4"/>
    </row>
    <row r="133" spans="1:16" ht="12.75">
      <c r="A133" s="4">
        <v>50</v>
      </c>
      <c r="B133" s="4">
        <v>0</v>
      </c>
      <c r="C133" s="4">
        <v>0</v>
      </c>
      <c r="D133" s="4">
        <v>1</v>
      </c>
      <c r="E133" s="4">
        <v>216</v>
      </c>
      <c r="F133" s="4">
        <f>ROUND(Source!AP124,O133)</f>
        <v>0</v>
      </c>
      <c r="G133" s="4" t="s">
        <v>111</v>
      </c>
      <c r="H133" s="4" t="s">
        <v>112</v>
      </c>
      <c r="I133" s="4"/>
      <c r="J133" s="4"/>
      <c r="K133" s="4">
        <v>216</v>
      </c>
      <c r="L133" s="4">
        <v>8</v>
      </c>
      <c r="M133" s="4">
        <v>3</v>
      </c>
      <c r="N133" s="4" t="s">
        <v>6</v>
      </c>
      <c r="O133" s="4">
        <v>2</v>
      </c>
      <c r="P133" s="4"/>
    </row>
    <row r="134" spans="1:16" ht="12.75">
      <c r="A134" s="4">
        <v>50</v>
      </c>
      <c r="B134" s="4">
        <v>0</v>
      </c>
      <c r="C134" s="4">
        <v>0</v>
      </c>
      <c r="D134" s="4">
        <v>1</v>
      </c>
      <c r="E134" s="4">
        <v>223</v>
      </c>
      <c r="F134" s="4">
        <f>ROUND(Source!AQ124,O134)</f>
        <v>0</v>
      </c>
      <c r="G134" s="4" t="s">
        <v>113</v>
      </c>
      <c r="H134" s="4" t="s">
        <v>114</v>
      </c>
      <c r="I134" s="4"/>
      <c r="J134" s="4"/>
      <c r="K134" s="4">
        <v>223</v>
      </c>
      <c r="L134" s="4">
        <v>9</v>
      </c>
      <c r="M134" s="4">
        <v>3</v>
      </c>
      <c r="N134" s="4" t="s">
        <v>6</v>
      </c>
      <c r="O134" s="4">
        <v>2</v>
      </c>
      <c r="P134" s="4"/>
    </row>
    <row r="135" spans="1:16" ht="12.75">
      <c r="A135" s="4">
        <v>50</v>
      </c>
      <c r="B135" s="4">
        <v>0</v>
      </c>
      <c r="C135" s="4">
        <v>0</v>
      </c>
      <c r="D135" s="4">
        <v>1</v>
      </c>
      <c r="E135" s="4">
        <v>229</v>
      </c>
      <c r="F135" s="4">
        <f>ROUND(Source!AZ124,O135)</f>
        <v>0</v>
      </c>
      <c r="G135" s="4" t="s">
        <v>115</v>
      </c>
      <c r="H135" s="4" t="s">
        <v>116</v>
      </c>
      <c r="I135" s="4"/>
      <c r="J135" s="4"/>
      <c r="K135" s="4">
        <v>229</v>
      </c>
      <c r="L135" s="4">
        <v>10</v>
      </c>
      <c r="M135" s="4">
        <v>3</v>
      </c>
      <c r="N135" s="4" t="s">
        <v>6</v>
      </c>
      <c r="O135" s="4">
        <v>2</v>
      </c>
      <c r="P135" s="4"/>
    </row>
    <row r="136" spans="1:16" ht="12.75">
      <c r="A136" s="4">
        <v>50</v>
      </c>
      <c r="B136" s="4">
        <v>0</v>
      </c>
      <c r="C136" s="4">
        <v>0</v>
      </c>
      <c r="D136" s="4">
        <v>1</v>
      </c>
      <c r="E136" s="4">
        <v>203</v>
      </c>
      <c r="F136" s="4">
        <f>ROUND(Source!Q124,O136)</f>
        <v>83190.24</v>
      </c>
      <c r="G136" s="4" t="s">
        <v>117</v>
      </c>
      <c r="H136" s="4" t="s">
        <v>118</v>
      </c>
      <c r="I136" s="4"/>
      <c r="J136" s="4"/>
      <c r="K136" s="4">
        <v>203</v>
      </c>
      <c r="L136" s="4">
        <v>11</v>
      </c>
      <c r="M136" s="4">
        <v>3</v>
      </c>
      <c r="N136" s="4" t="s">
        <v>6</v>
      </c>
      <c r="O136" s="4">
        <v>2</v>
      </c>
      <c r="P136" s="4"/>
    </row>
    <row r="137" spans="1:16" ht="12.75">
      <c r="A137" s="4">
        <v>50</v>
      </c>
      <c r="B137" s="4">
        <v>0</v>
      </c>
      <c r="C137" s="4">
        <v>0</v>
      </c>
      <c r="D137" s="4">
        <v>1</v>
      </c>
      <c r="E137" s="4">
        <v>204</v>
      </c>
      <c r="F137" s="4">
        <f>ROUND(Source!R124,O137)</f>
        <v>34090.85</v>
      </c>
      <c r="G137" s="4" t="s">
        <v>119</v>
      </c>
      <c r="H137" s="4" t="s">
        <v>120</v>
      </c>
      <c r="I137" s="4"/>
      <c r="J137" s="4"/>
      <c r="K137" s="4">
        <v>204</v>
      </c>
      <c r="L137" s="4">
        <v>12</v>
      </c>
      <c r="M137" s="4">
        <v>3</v>
      </c>
      <c r="N137" s="4" t="s">
        <v>6</v>
      </c>
      <c r="O137" s="4">
        <v>2</v>
      </c>
      <c r="P137" s="4"/>
    </row>
    <row r="138" spans="1:16" ht="12.75">
      <c r="A138" s="4">
        <v>50</v>
      </c>
      <c r="B138" s="4">
        <v>0</v>
      </c>
      <c r="C138" s="4">
        <v>0</v>
      </c>
      <c r="D138" s="4">
        <v>1</v>
      </c>
      <c r="E138" s="4">
        <v>205</v>
      </c>
      <c r="F138" s="4">
        <f>ROUND(Source!S124,O138)</f>
        <v>219292.02</v>
      </c>
      <c r="G138" s="4" t="s">
        <v>121</v>
      </c>
      <c r="H138" s="4" t="s">
        <v>122</v>
      </c>
      <c r="I138" s="4"/>
      <c r="J138" s="4"/>
      <c r="K138" s="4">
        <v>205</v>
      </c>
      <c r="L138" s="4">
        <v>13</v>
      </c>
      <c r="M138" s="4">
        <v>3</v>
      </c>
      <c r="N138" s="4" t="s">
        <v>6</v>
      </c>
      <c r="O138" s="4">
        <v>2</v>
      </c>
      <c r="P138" s="4"/>
    </row>
    <row r="139" spans="1:16" ht="12.75">
      <c r="A139" s="4">
        <v>50</v>
      </c>
      <c r="B139" s="4">
        <v>0</v>
      </c>
      <c r="C139" s="4">
        <v>0</v>
      </c>
      <c r="D139" s="4">
        <v>1</v>
      </c>
      <c r="E139" s="4">
        <v>214</v>
      </c>
      <c r="F139" s="4">
        <f>ROUND(Source!AS124,O139)</f>
        <v>140121.96</v>
      </c>
      <c r="G139" s="4" t="s">
        <v>123</v>
      </c>
      <c r="H139" s="4" t="s">
        <v>124</v>
      </c>
      <c r="I139" s="4"/>
      <c r="J139" s="4"/>
      <c r="K139" s="4">
        <v>214</v>
      </c>
      <c r="L139" s="4">
        <v>14</v>
      </c>
      <c r="M139" s="4">
        <v>3</v>
      </c>
      <c r="N139" s="4" t="s">
        <v>6</v>
      </c>
      <c r="O139" s="4">
        <v>2</v>
      </c>
      <c r="P139" s="4"/>
    </row>
    <row r="140" spans="1:16" ht="12.75">
      <c r="A140" s="4">
        <v>50</v>
      </c>
      <c r="B140" s="4">
        <v>0</v>
      </c>
      <c r="C140" s="4">
        <v>0</v>
      </c>
      <c r="D140" s="4">
        <v>1</v>
      </c>
      <c r="E140" s="4">
        <v>215</v>
      </c>
      <c r="F140" s="4">
        <f>ROUND(Source!AT124,O140)</f>
        <v>0</v>
      </c>
      <c r="G140" s="4" t="s">
        <v>125</v>
      </c>
      <c r="H140" s="4" t="s">
        <v>126</v>
      </c>
      <c r="I140" s="4"/>
      <c r="J140" s="4"/>
      <c r="K140" s="4">
        <v>215</v>
      </c>
      <c r="L140" s="4">
        <v>15</v>
      </c>
      <c r="M140" s="4">
        <v>3</v>
      </c>
      <c r="N140" s="4" t="s">
        <v>6</v>
      </c>
      <c r="O140" s="4">
        <v>2</v>
      </c>
      <c r="P140" s="4"/>
    </row>
    <row r="141" spans="1:16" ht="12.75">
      <c r="A141" s="4">
        <v>50</v>
      </c>
      <c r="B141" s="4">
        <v>0</v>
      </c>
      <c r="C141" s="4">
        <v>0</v>
      </c>
      <c r="D141" s="4">
        <v>1</v>
      </c>
      <c r="E141" s="4">
        <v>217</v>
      </c>
      <c r="F141" s="4">
        <f>ROUND(Source!AU124,O141)</f>
        <v>458320.33</v>
      </c>
      <c r="G141" s="4" t="s">
        <v>127</v>
      </c>
      <c r="H141" s="4" t="s">
        <v>128</v>
      </c>
      <c r="I141" s="4"/>
      <c r="J141" s="4"/>
      <c r="K141" s="4">
        <v>217</v>
      </c>
      <c r="L141" s="4">
        <v>16</v>
      </c>
      <c r="M141" s="4">
        <v>3</v>
      </c>
      <c r="N141" s="4" t="s">
        <v>6</v>
      </c>
      <c r="O141" s="4">
        <v>2</v>
      </c>
      <c r="P141" s="4"/>
    </row>
    <row r="142" spans="1:16" ht="12.75">
      <c r="A142" s="4">
        <v>50</v>
      </c>
      <c r="B142" s="4">
        <v>0</v>
      </c>
      <c r="C142" s="4">
        <v>0</v>
      </c>
      <c r="D142" s="4">
        <v>1</v>
      </c>
      <c r="E142" s="4">
        <v>206</v>
      </c>
      <c r="F142" s="4">
        <f>ROUND(Source!T124,O142)</f>
        <v>0</v>
      </c>
      <c r="G142" s="4" t="s">
        <v>129</v>
      </c>
      <c r="H142" s="4" t="s">
        <v>130</v>
      </c>
      <c r="I142" s="4"/>
      <c r="J142" s="4"/>
      <c r="K142" s="4">
        <v>206</v>
      </c>
      <c r="L142" s="4">
        <v>17</v>
      </c>
      <c r="M142" s="4">
        <v>3</v>
      </c>
      <c r="N142" s="4" t="s">
        <v>6</v>
      </c>
      <c r="O142" s="4">
        <v>2</v>
      </c>
      <c r="P142" s="4"/>
    </row>
    <row r="143" spans="1:16" ht="12.75">
      <c r="A143" s="4">
        <v>50</v>
      </c>
      <c r="B143" s="4">
        <v>0</v>
      </c>
      <c r="C143" s="4">
        <v>0</v>
      </c>
      <c r="D143" s="4">
        <v>1</v>
      </c>
      <c r="E143" s="4">
        <v>207</v>
      </c>
      <c r="F143" s="4">
        <f>Source!U124</f>
        <v>674.7</v>
      </c>
      <c r="G143" s="4" t="s">
        <v>131</v>
      </c>
      <c r="H143" s="4" t="s">
        <v>132</v>
      </c>
      <c r="I143" s="4"/>
      <c r="J143" s="4"/>
      <c r="K143" s="4">
        <v>207</v>
      </c>
      <c r="L143" s="4">
        <v>18</v>
      </c>
      <c r="M143" s="4">
        <v>3</v>
      </c>
      <c r="N143" s="4" t="s">
        <v>6</v>
      </c>
      <c r="O143" s="4">
        <v>-1</v>
      </c>
      <c r="P143" s="4"/>
    </row>
    <row r="144" spans="1:16" ht="12.75">
      <c r="A144" s="4">
        <v>50</v>
      </c>
      <c r="B144" s="4">
        <v>0</v>
      </c>
      <c r="C144" s="4">
        <v>0</v>
      </c>
      <c r="D144" s="4">
        <v>1</v>
      </c>
      <c r="E144" s="4">
        <v>208</v>
      </c>
      <c r="F144" s="4">
        <f>Source!V124</f>
        <v>0</v>
      </c>
      <c r="G144" s="4" t="s">
        <v>133</v>
      </c>
      <c r="H144" s="4" t="s">
        <v>134</v>
      </c>
      <c r="I144" s="4"/>
      <c r="J144" s="4"/>
      <c r="K144" s="4">
        <v>208</v>
      </c>
      <c r="L144" s="4">
        <v>19</v>
      </c>
      <c r="M144" s="4">
        <v>3</v>
      </c>
      <c r="N144" s="4" t="s">
        <v>6</v>
      </c>
      <c r="O144" s="4">
        <v>-1</v>
      </c>
      <c r="P144" s="4"/>
    </row>
    <row r="145" spans="1:16" ht="12.75">
      <c r="A145" s="4">
        <v>50</v>
      </c>
      <c r="B145" s="4">
        <v>0</v>
      </c>
      <c r="C145" s="4">
        <v>0</v>
      </c>
      <c r="D145" s="4">
        <v>1</v>
      </c>
      <c r="E145" s="4">
        <v>209</v>
      </c>
      <c r="F145" s="4">
        <f>ROUND(Source!W124,O145)</f>
        <v>0</v>
      </c>
      <c r="G145" s="4" t="s">
        <v>135</v>
      </c>
      <c r="H145" s="4" t="s">
        <v>136</v>
      </c>
      <c r="I145" s="4"/>
      <c r="J145" s="4"/>
      <c r="K145" s="4">
        <v>209</v>
      </c>
      <c r="L145" s="4">
        <v>20</v>
      </c>
      <c r="M145" s="4">
        <v>3</v>
      </c>
      <c r="N145" s="4" t="s">
        <v>6</v>
      </c>
      <c r="O145" s="4">
        <v>2</v>
      </c>
      <c r="P145" s="4"/>
    </row>
    <row r="146" spans="1:16" ht="12.75">
      <c r="A146" s="4">
        <v>50</v>
      </c>
      <c r="B146" s="4">
        <v>0</v>
      </c>
      <c r="C146" s="4">
        <v>0</v>
      </c>
      <c r="D146" s="4">
        <v>1</v>
      </c>
      <c r="E146" s="4">
        <v>210</v>
      </c>
      <c r="F146" s="4">
        <f>ROUND(Source!X124,O146)</f>
        <v>149118.58</v>
      </c>
      <c r="G146" s="4" t="s">
        <v>137</v>
      </c>
      <c r="H146" s="4" t="s">
        <v>138</v>
      </c>
      <c r="I146" s="4"/>
      <c r="J146" s="4"/>
      <c r="K146" s="4">
        <v>210</v>
      </c>
      <c r="L146" s="4">
        <v>21</v>
      </c>
      <c r="M146" s="4">
        <v>3</v>
      </c>
      <c r="N146" s="4" t="s">
        <v>6</v>
      </c>
      <c r="O146" s="4">
        <v>2</v>
      </c>
      <c r="P146" s="4"/>
    </row>
    <row r="147" spans="1:16" ht="12.75">
      <c r="A147" s="4">
        <v>50</v>
      </c>
      <c r="B147" s="4">
        <v>0</v>
      </c>
      <c r="C147" s="4">
        <v>0</v>
      </c>
      <c r="D147" s="4">
        <v>1</v>
      </c>
      <c r="E147" s="4">
        <v>211</v>
      </c>
      <c r="F147" s="4">
        <f>ROUND(Source!Y124,O147)</f>
        <v>89909.73</v>
      </c>
      <c r="G147" s="4" t="s">
        <v>139</v>
      </c>
      <c r="H147" s="4" t="s">
        <v>140</v>
      </c>
      <c r="I147" s="4"/>
      <c r="J147" s="4"/>
      <c r="K147" s="4">
        <v>211</v>
      </c>
      <c r="L147" s="4">
        <v>22</v>
      </c>
      <c r="M147" s="4">
        <v>3</v>
      </c>
      <c r="N147" s="4" t="s">
        <v>6</v>
      </c>
      <c r="O147" s="4">
        <v>2</v>
      </c>
      <c r="P147" s="4"/>
    </row>
    <row r="148" spans="1:16" ht="12.75">
      <c r="A148" s="4">
        <v>50</v>
      </c>
      <c r="B148" s="4">
        <v>0</v>
      </c>
      <c r="C148" s="4">
        <v>0</v>
      </c>
      <c r="D148" s="4">
        <v>1</v>
      </c>
      <c r="E148" s="4">
        <v>224</v>
      </c>
      <c r="F148" s="4">
        <f>ROUND(Source!AR124,O148)</f>
        <v>598442.29</v>
      </c>
      <c r="G148" s="4" t="s">
        <v>141</v>
      </c>
      <c r="H148" s="4" t="s">
        <v>142</v>
      </c>
      <c r="I148" s="4"/>
      <c r="J148" s="4"/>
      <c r="K148" s="4">
        <v>224</v>
      </c>
      <c r="L148" s="4">
        <v>23</v>
      </c>
      <c r="M148" s="4">
        <v>3</v>
      </c>
      <c r="N148" s="4" t="s">
        <v>6</v>
      </c>
      <c r="O148" s="4">
        <v>2</v>
      </c>
      <c r="P148" s="4"/>
    </row>
    <row r="150" spans="1:88" ht="12.75">
      <c r="A150" s="1">
        <v>5</v>
      </c>
      <c r="B150" s="1">
        <v>1</v>
      </c>
      <c r="C150" s="1"/>
      <c r="D150" s="1">
        <f>ROW(A169)</f>
        <v>169</v>
      </c>
      <c r="E150" s="1"/>
      <c r="F150" s="1" t="s">
        <v>19</v>
      </c>
      <c r="G150" s="1" t="s">
        <v>221</v>
      </c>
      <c r="H150" s="1" t="s">
        <v>6</v>
      </c>
      <c r="I150" s="1">
        <v>0</v>
      </c>
      <c r="J150" s="1"/>
      <c r="K150" s="1">
        <v>0</v>
      </c>
      <c r="L150" s="1"/>
      <c r="M150" s="1"/>
      <c r="N150" s="1"/>
      <c r="O150" s="1"/>
      <c r="P150" s="1"/>
      <c r="Q150" s="1"/>
      <c r="R150" s="1"/>
      <c r="S150" s="1"/>
      <c r="T150" s="1"/>
      <c r="U150" s="1" t="s">
        <v>6</v>
      </c>
      <c r="V150" s="1">
        <v>0</v>
      </c>
      <c r="W150" s="1"/>
      <c r="X150" s="1"/>
      <c r="Y150" s="1"/>
      <c r="Z150" s="1"/>
      <c r="AA150" s="1"/>
      <c r="AB150" s="1" t="s">
        <v>6</v>
      </c>
      <c r="AC150" s="1" t="s">
        <v>6</v>
      </c>
      <c r="AD150" s="1" t="s">
        <v>6</v>
      </c>
      <c r="AE150" s="1" t="s">
        <v>6</v>
      </c>
      <c r="AF150" s="1" t="s">
        <v>6</v>
      </c>
      <c r="AG150" s="1" t="s">
        <v>6</v>
      </c>
      <c r="AH150" s="1"/>
      <c r="AI150" s="1"/>
      <c r="AJ150" s="1"/>
      <c r="AK150" s="1"/>
      <c r="AL150" s="1"/>
      <c r="AM150" s="1"/>
      <c r="AN150" s="1"/>
      <c r="AO150" s="1"/>
      <c r="AP150" s="1" t="s">
        <v>6</v>
      </c>
      <c r="AQ150" s="1" t="s">
        <v>6</v>
      </c>
      <c r="AR150" s="1" t="s">
        <v>6</v>
      </c>
      <c r="AS150" s="1"/>
      <c r="AT150" s="1"/>
      <c r="AU150" s="1"/>
      <c r="AV150" s="1"/>
      <c r="AW150" s="1"/>
      <c r="AX150" s="1"/>
      <c r="AY150" s="1"/>
      <c r="AZ150" s="1" t="s">
        <v>6</v>
      </c>
      <c r="BA150" s="1"/>
      <c r="BB150" s="1" t="s">
        <v>6</v>
      </c>
      <c r="BC150" s="1" t="s">
        <v>6</v>
      </c>
      <c r="BD150" s="1" t="s">
        <v>6</v>
      </c>
      <c r="BE150" s="1" t="s">
        <v>6</v>
      </c>
      <c r="BF150" s="1" t="s">
        <v>6</v>
      </c>
      <c r="BG150" s="1" t="s">
        <v>6</v>
      </c>
      <c r="BH150" s="1" t="s">
        <v>6</v>
      </c>
      <c r="BI150" s="1" t="s">
        <v>6</v>
      </c>
      <c r="BJ150" s="1" t="s">
        <v>6</v>
      </c>
      <c r="BK150" s="1" t="s">
        <v>6</v>
      </c>
      <c r="BL150" s="1" t="s">
        <v>6</v>
      </c>
      <c r="BM150" s="1" t="s">
        <v>6</v>
      </c>
      <c r="BN150" s="1" t="s">
        <v>6</v>
      </c>
      <c r="BO150" s="1" t="s">
        <v>6</v>
      </c>
      <c r="BP150" s="1" t="s">
        <v>6</v>
      </c>
      <c r="BQ150" s="1"/>
      <c r="BR150" s="1"/>
      <c r="BS150" s="1"/>
      <c r="BT150" s="1"/>
      <c r="BU150" s="1"/>
      <c r="BV150" s="1"/>
      <c r="BW150" s="1"/>
      <c r="BX150" s="1">
        <v>0</v>
      </c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>
        <v>0</v>
      </c>
    </row>
    <row r="152" spans="1:118" ht="12.75">
      <c r="A152" s="2">
        <v>52</v>
      </c>
      <c r="B152" s="2">
        <f aca="true" t="shared" si="104" ref="B152:G152">B169</f>
        <v>1</v>
      </c>
      <c r="C152" s="2">
        <f t="shared" si="104"/>
        <v>5</v>
      </c>
      <c r="D152" s="2">
        <f t="shared" si="104"/>
        <v>150</v>
      </c>
      <c r="E152" s="2">
        <f t="shared" si="104"/>
        <v>0</v>
      </c>
      <c r="F152" s="2" t="str">
        <f t="shared" si="104"/>
        <v>Новый подраздел</v>
      </c>
      <c r="G152" s="2" t="str">
        <f t="shared" si="104"/>
        <v>Восстановление благоустройства</v>
      </c>
      <c r="H152" s="2"/>
      <c r="I152" s="2"/>
      <c r="J152" s="2"/>
      <c r="K152" s="2"/>
      <c r="L152" s="2"/>
      <c r="M152" s="2"/>
      <c r="N152" s="2"/>
      <c r="O152" s="2">
        <f aca="true" t="shared" si="105" ref="O152:AT152">O169</f>
        <v>74247.04</v>
      </c>
      <c r="P152" s="2">
        <f t="shared" si="105"/>
        <v>36612.33</v>
      </c>
      <c r="Q152" s="2">
        <f t="shared" si="105"/>
        <v>13235.66</v>
      </c>
      <c r="R152" s="2">
        <f t="shared" si="105"/>
        <v>7498.31</v>
      </c>
      <c r="S152" s="2">
        <f t="shared" si="105"/>
        <v>24399.05</v>
      </c>
      <c r="T152" s="2">
        <f t="shared" si="105"/>
        <v>0</v>
      </c>
      <c r="U152" s="2">
        <f t="shared" si="105"/>
        <v>106.81352654999999</v>
      </c>
      <c r="V152" s="2">
        <f t="shared" si="105"/>
        <v>0</v>
      </c>
      <c r="W152" s="2">
        <f t="shared" si="105"/>
        <v>0</v>
      </c>
      <c r="X152" s="2">
        <f t="shared" si="105"/>
        <v>17515.92</v>
      </c>
      <c r="Y152" s="2">
        <f t="shared" si="105"/>
        <v>10194.39</v>
      </c>
      <c r="Z152" s="2">
        <f t="shared" si="105"/>
        <v>0</v>
      </c>
      <c r="AA152" s="2">
        <f t="shared" si="105"/>
        <v>0</v>
      </c>
      <c r="AB152" s="2">
        <f t="shared" si="105"/>
        <v>74247.04</v>
      </c>
      <c r="AC152" s="2">
        <f t="shared" si="105"/>
        <v>36612.33</v>
      </c>
      <c r="AD152" s="2">
        <f t="shared" si="105"/>
        <v>13235.66</v>
      </c>
      <c r="AE152" s="2">
        <f t="shared" si="105"/>
        <v>7498.31</v>
      </c>
      <c r="AF152" s="2">
        <f t="shared" si="105"/>
        <v>24399.05</v>
      </c>
      <c r="AG152" s="2">
        <f t="shared" si="105"/>
        <v>0</v>
      </c>
      <c r="AH152" s="2">
        <f t="shared" si="105"/>
        <v>106.81352654999999</v>
      </c>
      <c r="AI152" s="2">
        <f t="shared" si="105"/>
        <v>0</v>
      </c>
      <c r="AJ152" s="2">
        <f t="shared" si="105"/>
        <v>0</v>
      </c>
      <c r="AK152" s="2">
        <f t="shared" si="105"/>
        <v>17515.92</v>
      </c>
      <c r="AL152" s="2">
        <f t="shared" si="105"/>
        <v>10194.39</v>
      </c>
      <c r="AM152" s="2">
        <f t="shared" si="105"/>
        <v>0</v>
      </c>
      <c r="AN152" s="2">
        <f t="shared" si="105"/>
        <v>0</v>
      </c>
      <c r="AO152" s="2">
        <f t="shared" si="105"/>
        <v>0</v>
      </c>
      <c r="AP152" s="2">
        <f t="shared" si="105"/>
        <v>0</v>
      </c>
      <c r="AQ152" s="2">
        <f t="shared" si="105"/>
        <v>0</v>
      </c>
      <c r="AR152" s="2">
        <f t="shared" si="105"/>
        <v>114479.52</v>
      </c>
      <c r="AS152" s="2">
        <f t="shared" si="105"/>
        <v>114479.52</v>
      </c>
      <c r="AT152" s="2">
        <f t="shared" si="105"/>
        <v>0</v>
      </c>
      <c r="AU152" s="2">
        <f aca="true" t="shared" si="106" ref="AU152:BZ152">AU169</f>
        <v>0</v>
      </c>
      <c r="AV152" s="2">
        <f t="shared" si="106"/>
        <v>36612.33</v>
      </c>
      <c r="AW152" s="2">
        <f t="shared" si="106"/>
        <v>36612.33</v>
      </c>
      <c r="AX152" s="2">
        <f t="shared" si="106"/>
        <v>0</v>
      </c>
      <c r="AY152" s="2">
        <f t="shared" si="106"/>
        <v>36612.33</v>
      </c>
      <c r="AZ152" s="2">
        <f t="shared" si="106"/>
        <v>0</v>
      </c>
      <c r="BA152" s="2">
        <f t="shared" si="106"/>
        <v>0</v>
      </c>
      <c r="BB152" s="2">
        <f t="shared" si="106"/>
        <v>0</v>
      </c>
      <c r="BC152" s="2">
        <f t="shared" si="106"/>
        <v>0</v>
      </c>
      <c r="BD152" s="2">
        <f t="shared" si="106"/>
        <v>0</v>
      </c>
      <c r="BE152" s="2">
        <f t="shared" si="106"/>
        <v>114479.52</v>
      </c>
      <c r="BF152" s="2">
        <f t="shared" si="106"/>
        <v>114479.52</v>
      </c>
      <c r="BG152" s="2">
        <f t="shared" si="106"/>
        <v>0</v>
      </c>
      <c r="BH152" s="2">
        <f t="shared" si="106"/>
        <v>0</v>
      </c>
      <c r="BI152" s="2">
        <f t="shared" si="106"/>
        <v>36612.33</v>
      </c>
      <c r="BJ152" s="2">
        <f t="shared" si="106"/>
        <v>36612.33</v>
      </c>
      <c r="BK152" s="2">
        <f t="shared" si="106"/>
        <v>0</v>
      </c>
      <c r="BL152" s="2">
        <f t="shared" si="106"/>
        <v>36612.33</v>
      </c>
      <c r="BM152" s="2">
        <f t="shared" si="106"/>
        <v>0</v>
      </c>
      <c r="BN152" s="2">
        <f t="shared" si="106"/>
        <v>0</v>
      </c>
      <c r="BO152" s="3">
        <f t="shared" si="106"/>
        <v>0</v>
      </c>
      <c r="BP152" s="3">
        <f t="shared" si="106"/>
        <v>0</v>
      </c>
      <c r="BQ152" s="3">
        <f t="shared" si="106"/>
        <v>0</v>
      </c>
      <c r="BR152" s="3">
        <f t="shared" si="106"/>
        <v>0</v>
      </c>
      <c r="BS152" s="3">
        <f t="shared" si="106"/>
        <v>0</v>
      </c>
      <c r="BT152" s="3">
        <f t="shared" si="106"/>
        <v>0</v>
      </c>
      <c r="BU152" s="3">
        <f t="shared" si="106"/>
        <v>0</v>
      </c>
      <c r="BV152" s="3">
        <f t="shared" si="106"/>
        <v>0</v>
      </c>
      <c r="BW152" s="3">
        <f t="shared" si="106"/>
        <v>0</v>
      </c>
      <c r="BX152" s="3">
        <f t="shared" si="106"/>
        <v>0</v>
      </c>
      <c r="BY152" s="3">
        <f t="shared" si="106"/>
        <v>0</v>
      </c>
      <c r="BZ152" s="3">
        <f t="shared" si="106"/>
        <v>0</v>
      </c>
      <c r="CA152" s="3">
        <f aca="true" t="shared" si="107" ref="CA152:DF152">CA169</f>
        <v>0</v>
      </c>
      <c r="CB152" s="3">
        <f t="shared" si="107"/>
        <v>0</v>
      </c>
      <c r="CC152" s="3">
        <f t="shared" si="107"/>
        <v>0</v>
      </c>
      <c r="CD152" s="3">
        <f t="shared" si="107"/>
        <v>0</v>
      </c>
      <c r="CE152" s="3">
        <f t="shared" si="107"/>
        <v>0</v>
      </c>
      <c r="CF152" s="3">
        <f t="shared" si="107"/>
        <v>0</v>
      </c>
      <c r="CG152" s="3">
        <f t="shared" si="107"/>
        <v>0</v>
      </c>
      <c r="CH152" s="3">
        <f t="shared" si="107"/>
        <v>0</v>
      </c>
      <c r="CI152" s="3">
        <f t="shared" si="107"/>
        <v>0</v>
      </c>
      <c r="CJ152" s="3">
        <f t="shared" si="107"/>
        <v>0</v>
      </c>
      <c r="CK152" s="3">
        <f t="shared" si="107"/>
        <v>0</v>
      </c>
      <c r="CL152" s="3">
        <f t="shared" si="107"/>
        <v>0</v>
      </c>
      <c r="CM152" s="3">
        <f t="shared" si="107"/>
        <v>0</v>
      </c>
      <c r="CN152" s="3">
        <f t="shared" si="107"/>
        <v>0</v>
      </c>
      <c r="CO152" s="3">
        <f t="shared" si="107"/>
        <v>0</v>
      </c>
      <c r="CP152" s="3">
        <f t="shared" si="107"/>
        <v>0</v>
      </c>
      <c r="CQ152" s="3">
        <f t="shared" si="107"/>
        <v>0</v>
      </c>
      <c r="CR152" s="3">
        <f t="shared" si="107"/>
        <v>0</v>
      </c>
      <c r="CS152" s="3">
        <f t="shared" si="107"/>
        <v>0</v>
      </c>
      <c r="CT152" s="3">
        <f t="shared" si="107"/>
        <v>0</v>
      </c>
      <c r="CU152" s="3">
        <f t="shared" si="107"/>
        <v>0</v>
      </c>
      <c r="CV152" s="3">
        <f t="shared" si="107"/>
        <v>0</v>
      </c>
      <c r="CW152" s="3">
        <f t="shared" si="107"/>
        <v>0</v>
      </c>
      <c r="CX152" s="3">
        <f t="shared" si="107"/>
        <v>0</v>
      </c>
      <c r="CY152" s="3">
        <f t="shared" si="107"/>
        <v>0</v>
      </c>
      <c r="CZ152" s="3">
        <f t="shared" si="107"/>
        <v>0</v>
      </c>
      <c r="DA152" s="3">
        <f t="shared" si="107"/>
        <v>0</v>
      </c>
      <c r="DB152" s="3">
        <f t="shared" si="107"/>
        <v>0</v>
      </c>
      <c r="DC152" s="3">
        <f t="shared" si="107"/>
        <v>0</v>
      </c>
      <c r="DD152" s="3">
        <f t="shared" si="107"/>
        <v>0</v>
      </c>
      <c r="DE152" s="3">
        <f t="shared" si="107"/>
        <v>0</v>
      </c>
      <c r="DF152" s="3">
        <f t="shared" si="107"/>
        <v>0</v>
      </c>
      <c r="DG152" s="3">
        <f aca="true" t="shared" si="108" ref="DG152:DN152">DG169</f>
        <v>0</v>
      </c>
      <c r="DH152" s="3">
        <f t="shared" si="108"/>
        <v>0</v>
      </c>
      <c r="DI152" s="3">
        <f t="shared" si="108"/>
        <v>0</v>
      </c>
      <c r="DJ152" s="3">
        <f t="shared" si="108"/>
        <v>0</v>
      </c>
      <c r="DK152" s="3">
        <f t="shared" si="108"/>
        <v>0</v>
      </c>
      <c r="DL152" s="3">
        <f t="shared" si="108"/>
        <v>0</v>
      </c>
      <c r="DM152" s="3">
        <f t="shared" si="108"/>
        <v>0</v>
      </c>
      <c r="DN152" s="3">
        <f t="shared" si="108"/>
        <v>0</v>
      </c>
    </row>
    <row r="154" spans="1:206" ht="12.75">
      <c r="A154">
        <v>17</v>
      </c>
      <c r="B154">
        <v>1</v>
      </c>
      <c r="C154">
        <f>ROW(SmtRes!A20)</f>
        <v>20</v>
      </c>
      <c r="D154">
        <f>ROW(EtalonRes!A16)</f>
        <v>16</v>
      </c>
      <c r="E154" t="s">
        <v>222</v>
      </c>
      <c r="F154" t="s">
        <v>223</v>
      </c>
      <c r="G154" t="s">
        <v>224</v>
      </c>
      <c r="H154" t="s">
        <v>225</v>
      </c>
      <c r="I154">
        <f>ROUND(39/100,9)</f>
        <v>0.39</v>
      </c>
      <c r="J154">
        <v>0</v>
      </c>
      <c r="O154">
        <f aca="true" t="shared" si="109" ref="O154:O167">ROUND(CP154+GX154,2)</f>
        <v>4818.52</v>
      </c>
      <c r="P154">
        <f aca="true" t="shared" si="110" ref="P154:P167">ROUND(CQ154*I154,2)</f>
        <v>0</v>
      </c>
      <c r="Q154">
        <f aca="true" t="shared" si="111" ref="Q154:Q167">ROUND(CR154*I154,2)</f>
        <v>1257.31</v>
      </c>
      <c r="R154">
        <f aca="true" t="shared" si="112" ref="R154:R167">ROUND(CS154*I154,2)</f>
        <v>857.57</v>
      </c>
      <c r="S154">
        <f aca="true" t="shared" si="113" ref="S154:S167">ROUND(CT154*I154,2)</f>
        <v>3561.21</v>
      </c>
      <c r="T154">
        <f aca="true" t="shared" si="114" ref="T154:T167">ROUND(CU154*I154,2)</f>
        <v>0</v>
      </c>
      <c r="U154">
        <f aca="true" t="shared" si="115" ref="U154:U167">CV154*I154</f>
        <v>15.614539200000001</v>
      </c>
      <c r="V154">
        <f aca="true" t="shared" si="116" ref="V154:V167">CW154*I154</f>
        <v>0</v>
      </c>
      <c r="W154">
        <f aca="true" t="shared" si="117" ref="W154:W167">ROUND(CX154*I154,2)</f>
        <v>0</v>
      </c>
      <c r="X154">
        <f aca="true" t="shared" si="118" ref="X154:X167">ROUND(CY154,2)</f>
        <v>2421.62</v>
      </c>
      <c r="Y154">
        <f aca="true" t="shared" si="119" ref="Y154:Y167">ROUND(CZ154,2)</f>
        <v>1460.1</v>
      </c>
      <c r="AA154">
        <v>34388368</v>
      </c>
      <c r="AB154">
        <f aca="true" t="shared" si="120" ref="AB154:AB167">ROUND((AC154+AD154+AF154)+GT154,6)</f>
        <v>772.33</v>
      </c>
      <c r="AC154">
        <f aca="true" t="shared" si="121" ref="AC154:AC167">ROUND((ES154),6)</f>
        <v>0</v>
      </c>
      <c r="AD154">
        <f aca="true" t="shared" si="122" ref="AD154:AD167">ROUND((((ET154)-(EU154))+AE154),6)</f>
        <v>344.81</v>
      </c>
      <c r="AE154">
        <f aca="true" t="shared" si="123" ref="AE154:AE167">ROUND((EU154),6)</f>
        <v>102.95</v>
      </c>
      <c r="AF154">
        <f aca="true" t="shared" si="124" ref="AF154:AF167">ROUND((EV154),6)</f>
        <v>427.52</v>
      </c>
      <c r="AG154">
        <f aca="true" t="shared" si="125" ref="AG154:AG167">ROUND((AP154),6)</f>
        <v>0</v>
      </c>
      <c r="AH154">
        <f aca="true" t="shared" si="126" ref="AH154:AH167">(EW154)</f>
        <v>38.24</v>
      </c>
      <c r="AI154">
        <f aca="true" t="shared" si="127" ref="AI154:AI167">(EX154)</f>
        <v>0</v>
      </c>
      <c r="AJ154">
        <f aca="true" t="shared" si="128" ref="AJ154:AJ167">ROUND((AS154),6)</f>
        <v>0</v>
      </c>
      <c r="AK154">
        <v>772.33</v>
      </c>
      <c r="AL154">
        <v>0</v>
      </c>
      <c r="AM154">
        <v>344.81</v>
      </c>
      <c r="AN154">
        <v>102.95</v>
      </c>
      <c r="AO154">
        <v>427.52</v>
      </c>
      <c r="AP154">
        <v>0</v>
      </c>
      <c r="AQ154">
        <v>38.24</v>
      </c>
      <c r="AR154">
        <v>0</v>
      </c>
      <c r="AS154">
        <v>0</v>
      </c>
      <c r="AT154">
        <v>68</v>
      </c>
      <c r="AU154">
        <v>41</v>
      </c>
      <c r="AV154">
        <v>1.047</v>
      </c>
      <c r="AW154">
        <v>1</v>
      </c>
      <c r="AZ154">
        <v>1</v>
      </c>
      <c r="BA154">
        <v>20.4</v>
      </c>
      <c r="BB154">
        <v>8.93</v>
      </c>
      <c r="BC154">
        <v>1</v>
      </c>
      <c r="BH154">
        <v>0</v>
      </c>
      <c r="BI154">
        <v>1</v>
      </c>
      <c r="BJ154" t="s">
        <v>226</v>
      </c>
      <c r="BM154">
        <v>439</v>
      </c>
      <c r="BN154">
        <v>0</v>
      </c>
      <c r="BO154" t="s">
        <v>223</v>
      </c>
      <c r="BP154">
        <v>1</v>
      </c>
      <c r="BQ154">
        <v>60</v>
      </c>
      <c r="BR154">
        <v>0</v>
      </c>
      <c r="BS154">
        <v>20.4</v>
      </c>
      <c r="BT154">
        <v>1</v>
      </c>
      <c r="BU154">
        <v>1</v>
      </c>
      <c r="BV154">
        <v>1</v>
      </c>
      <c r="BW154">
        <v>1</v>
      </c>
      <c r="BX154">
        <v>1</v>
      </c>
      <c r="BZ154">
        <v>68</v>
      </c>
      <c r="CA154">
        <v>41</v>
      </c>
      <c r="CF154">
        <v>0</v>
      </c>
      <c r="CG154">
        <v>0</v>
      </c>
      <c r="CM154">
        <v>0</v>
      </c>
      <c r="CO154">
        <v>0</v>
      </c>
      <c r="CP154">
        <f aca="true" t="shared" si="129" ref="CP154:CP167">(P154+Q154+S154)</f>
        <v>4818.52</v>
      </c>
      <c r="CQ154">
        <f aca="true" t="shared" si="130" ref="CQ154:CQ167">(AC154*BC154*AW154)</f>
        <v>0</v>
      </c>
      <c r="CR154">
        <f aca="true" t="shared" si="131" ref="CR154:CR167">((((ET154)*BB154-(EU154)*BS154)+AE154*BS154)*AV154)</f>
        <v>3223.8735051</v>
      </c>
      <c r="CS154">
        <f aca="true" t="shared" si="132" ref="CS154:CS167">(AE154*BS154*AV154)</f>
        <v>2198.8884599999997</v>
      </c>
      <c r="CT154">
        <f aca="true" t="shared" si="133" ref="CT154:CT167">(AF154*BA154*AV154)</f>
        <v>9131.314175999998</v>
      </c>
      <c r="CU154">
        <f aca="true" t="shared" si="134" ref="CU154:CU167">AG154</f>
        <v>0</v>
      </c>
      <c r="CV154">
        <f aca="true" t="shared" si="135" ref="CV154:CV167">(AH154*AV154)</f>
        <v>40.03728</v>
      </c>
      <c r="CW154">
        <f aca="true" t="shared" si="136" ref="CW154:CW167">AI154</f>
        <v>0</v>
      </c>
      <c r="CX154">
        <f aca="true" t="shared" si="137" ref="CX154:CX167">AJ154</f>
        <v>0</v>
      </c>
      <c r="CY154">
        <f aca="true" t="shared" si="138" ref="CY154:CY167">S154*(BZ154/100)</f>
        <v>2421.6228</v>
      </c>
      <c r="CZ154">
        <f aca="true" t="shared" si="139" ref="CZ154:CZ167">S154*(CA154/100)</f>
        <v>1460.0961</v>
      </c>
      <c r="DN154">
        <v>80</v>
      </c>
      <c r="DO154">
        <v>55</v>
      </c>
      <c r="DP154">
        <v>1.047</v>
      </c>
      <c r="DQ154">
        <v>1</v>
      </c>
      <c r="DU154">
        <v>1005</v>
      </c>
      <c r="DV154" t="s">
        <v>225</v>
      </c>
      <c r="DW154" t="s">
        <v>225</v>
      </c>
      <c r="DX154">
        <v>100</v>
      </c>
      <c r="EE154">
        <v>34317854</v>
      </c>
      <c r="EF154">
        <v>60</v>
      </c>
      <c r="EG154" t="s">
        <v>87</v>
      </c>
      <c r="EH154">
        <v>0</v>
      </c>
      <c r="EJ154">
        <v>1</v>
      </c>
      <c r="EK154">
        <v>439</v>
      </c>
      <c r="EL154" t="s">
        <v>227</v>
      </c>
      <c r="EM154" t="s">
        <v>228</v>
      </c>
      <c r="EQ154">
        <v>0</v>
      </c>
      <c r="ER154">
        <v>772.33</v>
      </c>
      <c r="ES154">
        <v>0</v>
      </c>
      <c r="ET154">
        <v>344.81</v>
      </c>
      <c r="EU154">
        <v>102.95</v>
      </c>
      <c r="EV154">
        <v>427.52</v>
      </c>
      <c r="EW154">
        <v>38.24</v>
      </c>
      <c r="EX154">
        <v>0</v>
      </c>
      <c r="EY154">
        <v>0</v>
      </c>
      <c r="FQ154">
        <v>0</v>
      </c>
      <c r="FR154">
        <f aca="true" t="shared" si="140" ref="FR154:FR167">ROUND(IF(AND(BH154=3,BI154=3),P154,0),2)</f>
        <v>0</v>
      </c>
      <c r="FS154">
        <v>0</v>
      </c>
      <c r="FX154">
        <v>80</v>
      </c>
      <c r="FY154">
        <v>55</v>
      </c>
      <c r="GD154">
        <v>0</v>
      </c>
      <c r="GF154">
        <v>1998361451</v>
      </c>
      <c r="GG154">
        <v>2</v>
      </c>
      <c r="GH154">
        <v>1</v>
      </c>
      <c r="GI154">
        <v>2</v>
      </c>
      <c r="GJ154">
        <v>0</v>
      </c>
      <c r="GK154">
        <f>ROUND(R154*(R12)/100,2)</f>
        <v>1432.14</v>
      </c>
      <c r="GL154">
        <f aca="true" t="shared" si="141" ref="GL154:GL167">ROUND(IF(AND(BH154=3,BI154=3,FS154&lt;&gt;0),P154,0),2)</f>
        <v>0</v>
      </c>
      <c r="GM154">
        <f aca="true" t="shared" si="142" ref="GM154:GM167">O154+X154+Y154+GK154</f>
        <v>10132.38</v>
      </c>
      <c r="GN154">
        <f aca="true" t="shared" si="143" ref="GN154:GN167">ROUND(IF(OR(BI154=0,BI154=1),O154+X154+Y154+GK154-GX154,0),2)</f>
        <v>10132.38</v>
      </c>
      <c r="GO154">
        <f aca="true" t="shared" si="144" ref="GO154:GO167">ROUND(IF(BI154=2,O154+X154+Y154+GK154-GX154,0),2)</f>
        <v>0</v>
      </c>
      <c r="GP154">
        <f aca="true" t="shared" si="145" ref="GP154:GP167">ROUND(IF(BI154=4,O154+X154+Y154+GK154,GX154),2)</f>
        <v>0</v>
      </c>
      <c r="GT154">
        <v>0</v>
      </c>
      <c r="GU154">
        <v>1</v>
      </c>
      <c r="GV154">
        <v>0</v>
      </c>
      <c r="GW154">
        <v>0</v>
      </c>
      <c r="GX154">
        <f aca="true" t="shared" si="146" ref="GX154:GX167">ROUND(GT154*GU154*I154,2)</f>
        <v>0</v>
      </c>
    </row>
    <row r="155" spans="1:206" ht="12.75">
      <c r="A155">
        <v>17</v>
      </c>
      <c r="B155">
        <v>1</v>
      </c>
      <c r="C155">
        <f>ROW(SmtRes!A24)</f>
        <v>24</v>
      </c>
      <c r="D155">
        <f>ROW(EtalonRes!A20)</f>
        <v>20</v>
      </c>
      <c r="E155" t="s">
        <v>229</v>
      </c>
      <c r="F155" t="s">
        <v>223</v>
      </c>
      <c r="G155" t="s">
        <v>230</v>
      </c>
      <c r="H155" t="s">
        <v>225</v>
      </c>
      <c r="I155">
        <f>ROUND(23.98/100,9)</f>
        <v>0.2398</v>
      </c>
      <c r="J155">
        <v>0</v>
      </c>
      <c r="O155">
        <f t="shared" si="109"/>
        <v>2962.77</v>
      </c>
      <c r="P155">
        <f t="shared" si="110"/>
        <v>0</v>
      </c>
      <c r="Q155">
        <f t="shared" si="111"/>
        <v>773.08</v>
      </c>
      <c r="R155">
        <f t="shared" si="112"/>
        <v>527.29</v>
      </c>
      <c r="S155">
        <f t="shared" si="113"/>
        <v>2189.69</v>
      </c>
      <c r="T155">
        <f t="shared" si="114"/>
        <v>0</v>
      </c>
      <c r="U155">
        <f t="shared" si="115"/>
        <v>9.600939744000001</v>
      </c>
      <c r="V155">
        <f t="shared" si="116"/>
        <v>0</v>
      </c>
      <c r="W155">
        <f t="shared" si="117"/>
        <v>0</v>
      </c>
      <c r="X155">
        <f t="shared" si="118"/>
        <v>1488.99</v>
      </c>
      <c r="Y155">
        <f t="shared" si="119"/>
        <v>897.77</v>
      </c>
      <c r="AA155">
        <v>34388368</v>
      </c>
      <c r="AB155">
        <f t="shared" si="120"/>
        <v>772.33</v>
      </c>
      <c r="AC155">
        <f t="shared" si="121"/>
        <v>0</v>
      </c>
      <c r="AD155">
        <f t="shared" si="122"/>
        <v>344.81</v>
      </c>
      <c r="AE155">
        <f t="shared" si="123"/>
        <v>102.95</v>
      </c>
      <c r="AF155">
        <f t="shared" si="124"/>
        <v>427.52</v>
      </c>
      <c r="AG155">
        <f t="shared" si="125"/>
        <v>0</v>
      </c>
      <c r="AH155">
        <f t="shared" si="126"/>
        <v>38.24</v>
      </c>
      <c r="AI155">
        <f t="shared" si="127"/>
        <v>0</v>
      </c>
      <c r="AJ155">
        <f t="shared" si="128"/>
        <v>0</v>
      </c>
      <c r="AK155">
        <v>772.33</v>
      </c>
      <c r="AL155">
        <v>0</v>
      </c>
      <c r="AM155">
        <v>344.81</v>
      </c>
      <c r="AN155">
        <v>102.95</v>
      </c>
      <c r="AO155">
        <v>427.52</v>
      </c>
      <c r="AP155">
        <v>0</v>
      </c>
      <c r="AQ155">
        <v>38.24</v>
      </c>
      <c r="AR155">
        <v>0</v>
      </c>
      <c r="AS155">
        <v>0</v>
      </c>
      <c r="AT155">
        <v>68</v>
      </c>
      <c r="AU155">
        <v>41</v>
      </c>
      <c r="AV155">
        <v>1.047</v>
      </c>
      <c r="AW155">
        <v>1</v>
      </c>
      <c r="AZ155">
        <v>1</v>
      </c>
      <c r="BA155">
        <v>20.4</v>
      </c>
      <c r="BB155">
        <v>8.93</v>
      </c>
      <c r="BC155">
        <v>1</v>
      </c>
      <c r="BH155">
        <v>0</v>
      </c>
      <c r="BI155">
        <v>1</v>
      </c>
      <c r="BJ155" t="s">
        <v>226</v>
      </c>
      <c r="BM155">
        <v>439</v>
      </c>
      <c r="BN155">
        <v>0</v>
      </c>
      <c r="BO155" t="s">
        <v>223</v>
      </c>
      <c r="BP155">
        <v>1</v>
      </c>
      <c r="BQ155">
        <v>60</v>
      </c>
      <c r="BR155">
        <v>0</v>
      </c>
      <c r="BS155">
        <v>20.4</v>
      </c>
      <c r="BT155">
        <v>1</v>
      </c>
      <c r="BU155">
        <v>1</v>
      </c>
      <c r="BV155">
        <v>1</v>
      </c>
      <c r="BW155">
        <v>1</v>
      </c>
      <c r="BX155">
        <v>1</v>
      </c>
      <c r="BZ155">
        <v>68</v>
      </c>
      <c r="CA155">
        <v>41</v>
      </c>
      <c r="CF155">
        <v>0</v>
      </c>
      <c r="CG155">
        <v>0</v>
      </c>
      <c r="CM155">
        <v>0</v>
      </c>
      <c r="CO155">
        <v>0</v>
      </c>
      <c r="CP155">
        <f t="shared" si="129"/>
        <v>2962.77</v>
      </c>
      <c r="CQ155">
        <f t="shared" si="130"/>
        <v>0</v>
      </c>
      <c r="CR155">
        <f t="shared" si="131"/>
        <v>3223.8735051</v>
      </c>
      <c r="CS155">
        <f t="shared" si="132"/>
        <v>2198.8884599999997</v>
      </c>
      <c r="CT155">
        <f t="shared" si="133"/>
        <v>9131.314175999998</v>
      </c>
      <c r="CU155">
        <f t="shared" si="134"/>
        <v>0</v>
      </c>
      <c r="CV155">
        <f t="shared" si="135"/>
        <v>40.03728</v>
      </c>
      <c r="CW155">
        <f t="shared" si="136"/>
        <v>0</v>
      </c>
      <c r="CX155">
        <f t="shared" si="137"/>
        <v>0</v>
      </c>
      <c r="CY155">
        <f t="shared" si="138"/>
        <v>1488.9892000000002</v>
      </c>
      <c r="CZ155">
        <f t="shared" si="139"/>
        <v>897.7728999999999</v>
      </c>
      <c r="DN155">
        <v>80</v>
      </c>
      <c r="DO155">
        <v>55</v>
      </c>
      <c r="DP155">
        <v>1.047</v>
      </c>
      <c r="DQ155">
        <v>1</v>
      </c>
      <c r="DU155">
        <v>1005</v>
      </c>
      <c r="DV155" t="s">
        <v>225</v>
      </c>
      <c r="DW155" t="s">
        <v>225</v>
      </c>
      <c r="DX155">
        <v>100</v>
      </c>
      <c r="EE155">
        <v>34317854</v>
      </c>
      <c r="EF155">
        <v>60</v>
      </c>
      <c r="EG155" t="s">
        <v>87</v>
      </c>
      <c r="EH155">
        <v>0</v>
      </c>
      <c r="EJ155">
        <v>1</v>
      </c>
      <c r="EK155">
        <v>439</v>
      </c>
      <c r="EL155" t="s">
        <v>227</v>
      </c>
      <c r="EM155" t="s">
        <v>228</v>
      </c>
      <c r="EQ155">
        <v>0</v>
      </c>
      <c r="ER155">
        <v>772.33</v>
      </c>
      <c r="ES155">
        <v>0</v>
      </c>
      <c r="ET155">
        <v>344.81</v>
      </c>
      <c r="EU155">
        <v>102.95</v>
      </c>
      <c r="EV155">
        <v>427.52</v>
      </c>
      <c r="EW155">
        <v>38.24</v>
      </c>
      <c r="EX155">
        <v>0</v>
      </c>
      <c r="EY155">
        <v>0</v>
      </c>
      <c r="FQ155">
        <v>0</v>
      </c>
      <c r="FR155">
        <f t="shared" si="140"/>
        <v>0</v>
      </c>
      <c r="FS155">
        <v>0</v>
      </c>
      <c r="FX155">
        <v>80</v>
      </c>
      <c r="FY155">
        <v>55</v>
      </c>
      <c r="GD155">
        <v>0</v>
      </c>
      <c r="GF155">
        <v>498463417</v>
      </c>
      <c r="GG155">
        <v>2</v>
      </c>
      <c r="GH155">
        <v>1</v>
      </c>
      <c r="GI155">
        <v>2</v>
      </c>
      <c r="GJ155">
        <v>0</v>
      </c>
      <c r="GK155">
        <f>ROUND(R155*(R12)/100,2)</f>
        <v>880.57</v>
      </c>
      <c r="GL155">
        <f t="shared" si="141"/>
        <v>0</v>
      </c>
      <c r="GM155">
        <f t="shared" si="142"/>
        <v>6230.1</v>
      </c>
      <c r="GN155">
        <f t="shared" si="143"/>
        <v>6230.1</v>
      </c>
      <c r="GO155">
        <f t="shared" si="144"/>
        <v>0</v>
      </c>
      <c r="GP155">
        <f t="shared" si="145"/>
        <v>0</v>
      </c>
      <c r="GT155">
        <v>0</v>
      </c>
      <c r="GU155">
        <v>1</v>
      </c>
      <c r="GV155">
        <v>0</v>
      </c>
      <c r="GW155">
        <v>0</v>
      </c>
      <c r="GX155">
        <f t="shared" si="146"/>
        <v>0</v>
      </c>
    </row>
    <row r="156" spans="1:206" ht="12.75">
      <c r="A156">
        <v>17</v>
      </c>
      <c r="B156">
        <v>1</v>
      </c>
      <c r="C156">
        <f>ROW(SmtRes!A28)</f>
        <v>28</v>
      </c>
      <c r="D156">
        <f>ROW(EtalonRes!A24)</f>
        <v>24</v>
      </c>
      <c r="E156" t="s">
        <v>231</v>
      </c>
      <c r="F156" t="s">
        <v>223</v>
      </c>
      <c r="G156" t="s">
        <v>232</v>
      </c>
      <c r="H156" t="s">
        <v>225</v>
      </c>
      <c r="I156">
        <f>ROUND(53.31/100,9)</f>
        <v>0.5331</v>
      </c>
      <c r="J156">
        <v>0</v>
      </c>
      <c r="O156">
        <f t="shared" si="109"/>
        <v>6586.55</v>
      </c>
      <c r="P156">
        <f t="shared" si="110"/>
        <v>0</v>
      </c>
      <c r="Q156">
        <f t="shared" si="111"/>
        <v>1718.65</v>
      </c>
      <c r="R156">
        <f t="shared" si="112"/>
        <v>1172.23</v>
      </c>
      <c r="S156">
        <f t="shared" si="113"/>
        <v>4867.9</v>
      </c>
      <c r="T156">
        <f t="shared" si="114"/>
        <v>0</v>
      </c>
      <c r="U156">
        <f t="shared" si="115"/>
        <v>21.343873968</v>
      </c>
      <c r="V156">
        <f t="shared" si="116"/>
        <v>0</v>
      </c>
      <c r="W156">
        <f t="shared" si="117"/>
        <v>0</v>
      </c>
      <c r="X156">
        <f t="shared" si="118"/>
        <v>3310.17</v>
      </c>
      <c r="Y156">
        <f t="shared" si="119"/>
        <v>1995.84</v>
      </c>
      <c r="AA156">
        <v>34388368</v>
      </c>
      <c r="AB156">
        <f t="shared" si="120"/>
        <v>772.33</v>
      </c>
      <c r="AC156">
        <f t="shared" si="121"/>
        <v>0</v>
      </c>
      <c r="AD156">
        <f t="shared" si="122"/>
        <v>344.81</v>
      </c>
      <c r="AE156">
        <f t="shared" si="123"/>
        <v>102.95</v>
      </c>
      <c r="AF156">
        <f t="shared" si="124"/>
        <v>427.52</v>
      </c>
      <c r="AG156">
        <f t="shared" si="125"/>
        <v>0</v>
      </c>
      <c r="AH156">
        <f t="shared" si="126"/>
        <v>38.24</v>
      </c>
      <c r="AI156">
        <f t="shared" si="127"/>
        <v>0</v>
      </c>
      <c r="AJ156">
        <f t="shared" si="128"/>
        <v>0</v>
      </c>
      <c r="AK156">
        <v>772.33</v>
      </c>
      <c r="AL156">
        <v>0</v>
      </c>
      <c r="AM156">
        <v>344.81</v>
      </c>
      <c r="AN156">
        <v>102.95</v>
      </c>
      <c r="AO156">
        <v>427.52</v>
      </c>
      <c r="AP156">
        <v>0</v>
      </c>
      <c r="AQ156">
        <v>38.24</v>
      </c>
      <c r="AR156">
        <v>0</v>
      </c>
      <c r="AS156">
        <v>0</v>
      </c>
      <c r="AT156">
        <v>68</v>
      </c>
      <c r="AU156">
        <v>41</v>
      </c>
      <c r="AV156">
        <v>1.047</v>
      </c>
      <c r="AW156">
        <v>1</v>
      </c>
      <c r="AZ156">
        <v>1</v>
      </c>
      <c r="BA156">
        <v>20.4</v>
      </c>
      <c r="BB156">
        <v>8.93</v>
      </c>
      <c r="BC156">
        <v>1</v>
      </c>
      <c r="BH156">
        <v>0</v>
      </c>
      <c r="BI156">
        <v>1</v>
      </c>
      <c r="BJ156" t="s">
        <v>226</v>
      </c>
      <c r="BM156">
        <v>439</v>
      </c>
      <c r="BN156">
        <v>0</v>
      </c>
      <c r="BO156" t="s">
        <v>223</v>
      </c>
      <c r="BP156">
        <v>1</v>
      </c>
      <c r="BQ156">
        <v>60</v>
      </c>
      <c r="BR156">
        <v>0</v>
      </c>
      <c r="BS156">
        <v>20.4</v>
      </c>
      <c r="BT156">
        <v>1</v>
      </c>
      <c r="BU156">
        <v>1</v>
      </c>
      <c r="BV156">
        <v>1</v>
      </c>
      <c r="BW156">
        <v>1</v>
      </c>
      <c r="BX156">
        <v>1</v>
      </c>
      <c r="BZ156">
        <v>68</v>
      </c>
      <c r="CA156">
        <v>41</v>
      </c>
      <c r="CF156">
        <v>0</v>
      </c>
      <c r="CG156">
        <v>0</v>
      </c>
      <c r="CM156">
        <v>0</v>
      </c>
      <c r="CO156">
        <v>0</v>
      </c>
      <c r="CP156">
        <f t="shared" si="129"/>
        <v>6586.549999999999</v>
      </c>
      <c r="CQ156">
        <f t="shared" si="130"/>
        <v>0</v>
      </c>
      <c r="CR156">
        <f t="shared" si="131"/>
        <v>3223.8735051</v>
      </c>
      <c r="CS156">
        <f t="shared" si="132"/>
        <v>2198.8884599999997</v>
      </c>
      <c r="CT156">
        <f t="shared" si="133"/>
        <v>9131.314175999998</v>
      </c>
      <c r="CU156">
        <f t="shared" si="134"/>
        <v>0</v>
      </c>
      <c r="CV156">
        <f t="shared" si="135"/>
        <v>40.03728</v>
      </c>
      <c r="CW156">
        <f t="shared" si="136"/>
        <v>0</v>
      </c>
      <c r="CX156">
        <f t="shared" si="137"/>
        <v>0</v>
      </c>
      <c r="CY156">
        <f t="shared" si="138"/>
        <v>3310.172</v>
      </c>
      <c r="CZ156">
        <f t="shared" si="139"/>
        <v>1995.8389999999997</v>
      </c>
      <c r="DN156">
        <v>80</v>
      </c>
      <c r="DO156">
        <v>55</v>
      </c>
      <c r="DP156">
        <v>1.047</v>
      </c>
      <c r="DQ156">
        <v>1</v>
      </c>
      <c r="DU156">
        <v>1005</v>
      </c>
      <c r="DV156" t="s">
        <v>225</v>
      </c>
      <c r="DW156" t="s">
        <v>225</v>
      </c>
      <c r="DX156">
        <v>100</v>
      </c>
      <c r="EE156">
        <v>34317854</v>
      </c>
      <c r="EF156">
        <v>60</v>
      </c>
      <c r="EG156" t="s">
        <v>87</v>
      </c>
      <c r="EH156">
        <v>0</v>
      </c>
      <c r="EJ156">
        <v>1</v>
      </c>
      <c r="EK156">
        <v>439</v>
      </c>
      <c r="EL156" t="s">
        <v>227</v>
      </c>
      <c r="EM156" t="s">
        <v>228</v>
      </c>
      <c r="EQ156">
        <v>0</v>
      </c>
      <c r="ER156">
        <v>772.33</v>
      </c>
      <c r="ES156">
        <v>0</v>
      </c>
      <c r="ET156">
        <v>344.81</v>
      </c>
      <c r="EU156">
        <v>102.95</v>
      </c>
      <c r="EV156">
        <v>427.52</v>
      </c>
      <c r="EW156">
        <v>38.24</v>
      </c>
      <c r="EX156">
        <v>0</v>
      </c>
      <c r="EY156">
        <v>0</v>
      </c>
      <c r="FQ156">
        <v>0</v>
      </c>
      <c r="FR156">
        <f t="shared" si="140"/>
        <v>0</v>
      </c>
      <c r="FS156">
        <v>0</v>
      </c>
      <c r="FX156">
        <v>80</v>
      </c>
      <c r="FY156">
        <v>55</v>
      </c>
      <c r="GD156">
        <v>0</v>
      </c>
      <c r="GF156">
        <v>1021518960</v>
      </c>
      <c r="GG156">
        <v>2</v>
      </c>
      <c r="GH156">
        <v>1</v>
      </c>
      <c r="GI156">
        <v>2</v>
      </c>
      <c r="GJ156">
        <v>0</v>
      </c>
      <c r="GK156">
        <f>ROUND(R156*(R12)/100,2)</f>
        <v>1957.62</v>
      </c>
      <c r="GL156">
        <f t="shared" si="141"/>
        <v>0</v>
      </c>
      <c r="GM156">
        <f t="shared" si="142"/>
        <v>13850.18</v>
      </c>
      <c r="GN156">
        <f t="shared" si="143"/>
        <v>13850.18</v>
      </c>
      <c r="GO156">
        <f t="shared" si="144"/>
        <v>0</v>
      </c>
      <c r="GP156">
        <f t="shared" si="145"/>
        <v>0</v>
      </c>
      <c r="GT156">
        <v>0</v>
      </c>
      <c r="GU156">
        <v>1</v>
      </c>
      <c r="GV156">
        <v>0</v>
      </c>
      <c r="GW156">
        <v>0</v>
      </c>
      <c r="GX156">
        <f t="shared" si="146"/>
        <v>0</v>
      </c>
    </row>
    <row r="157" spans="1:206" ht="12.75">
      <c r="A157">
        <v>17</v>
      </c>
      <c r="B157">
        <v>1</v>
      </c>
      <c r="C157">
        <f>ROW(SmtRes!A32)</f>
        <v>32</v>
      </c>
      <c r="D157">
        <f>ROW(EtalonRes!A28)</f>
        <v>28</v>
      </c>
      <c r="E157" t="s">
        <v>233</v>
      </c>
      <c r="F157" t="s">
        <v>223</v>
      </c>
      <c r="G157" t="s">
        <v>234</v>
      </c>
      <c r="H157" t="s">
        <v>225</v>
      </c>
      <c r="I157">
        <f>ROUND(28.22/100,9)</f>
        <v>0.2822</v>
      </c>
      <c r="J157">
        <v>0</v>
      </c>
      <c r="O157">
        <f t="shared" si="109"/>
        <v>3486.64</v>
      </c>
      <c r="P157">
        <f t="shared" si="110"/>
        <v>0</v>
      </c>
      <c r="Q157">
        <f t="shared" si="111"/>
        <v>909.78</v>
      </c>
      <c r="R157">
        <f t="shared" si="112"/>
        <v>620.53</v>
      </c>
      <c r="S157">
        <f t="shared" si="113"/>
        <v>2576.86</v>
      </c>
      <c r="T157">
        <f t="shared" si="114"/>
        <v>0</v>
      </c>
      <c r="U157">
        <f t="shared" si="115"/>
        <v>11.298520416</v>
      </c>
      <c r="V157">
        <f t="shared" si="116"/>
        <v>0</v>
      </c>
      <c r="W157">
        <f t="shared" si="117"/>
        <v>0</v>
      </c>
      <c r="X157">
        <f t="shared" si="118"/>
        <v>1752.26</v>
      </c>
      <c r="Y157">
        <f t="shared" si="119"/>
        <v>1056.51</v>
      </c>
      <c r="AA157">
        <v>34388368</v>
      </c>
      <c r="AB157">
        <f t="shared" si="120"/>
        <v>772.33</v>
      </c>
      <c r="AC157">
        <f t="shared" si="121"/>
        <v>0</v>
      </c>
      <c r="AD157">
        <f t="shared" si="122"/>
        <v>344.81</v>
      </c>
      <c r="AE157">
        <f t="shared" si="123"/>
        <v>102.95</v>
      </c>
      <c r="AF157">
        <f t="shared" si="124"/>
        <v>427.52</v>
      </c>
      <c r="AG157">
        <f t="shared" si="125"/>
        <v>0</v>
      </c>
      <c r="AH157">
        <f t="shared" si="126"/>
        <v>38.24</v>
      </c>
      <c r="AI157">
        <f t="shared" si="127"/>
        <v>0</v>
      </c>
      <c r="AJ157">
        <f t="shared" si="128"/>
        <v>0</v>
      </c>
      <c r="AK157">
        <v>772.33</v>
      </c>
      <c r="AL157">
        <v>0</v>
      </c>
      <c r="AM157">
        <v>344.81</v>
      </c>
      <c r="AN157">
        <v>102.95</v>
      </c>
      <c r="AO157">
        <v>427.52</v>
      </c>
      <c r="AP157">
        <v>0</v>
      </c>
      <c r="AQ157">
        <v>38.24</v>
      </c>
      <c r="AR157">
        <v>0</v>
      </c>
      <c r="AS157">
        <v>0</v>
      </c>
      <c r="AT157">
        <v>68</v>
      </c>
      <c r="AU157">
        <v>41</v>
      </c>
      <c r="AV157">
        <v>1.047</v>
      </c>
      <c r="AW157">
        <v>1</v>
      </c>
      <c r="AZ157">
        <v>1</v>
      </c>
      <c r="BA157">
        <v>20.4</v>
      </c>
      <c r="BB157">
        <v>8.93</v>
      </c>
      <c r="BC157">
        <v>1</v>
      </c>
      <c r="BH157">
        <v>0</v>
      </c>
      <c r="BI157">
        <v>1</v>
      </c>
      <c r="BJ157" t="s">
        <v>226</v>
      </c>
      <c r="BM157">
        <v>439</v>
      </c>
      <c r="BN157">
        <v>0</v>
      </c>
      <c r="BO157" t="s">
        <v>223</v>
      </c>
      <c r="BP157">
        <v>1</v>
      </c>
      <c r="BQ157">
        <v>60</v>
      </c>
      <c r="BR157">
        <v>0</v>
      </c>
      <c r="BS157">
        <v>20.4</v>
      </c>
      <c r="BT157">
        <v>1</v>
      </c>
      <c r="BU157">
        <v>1</v>
      </c>
      <c r="BV157">
        <v>1</v>
      </c>
      <c r="BW157">
        <v>1</v>
      </c>
      <c r="BX157">
        <v>1</v>
      </c>
      <c r="BZ157">
        <v>68</v>
      </c>
      <c r="CA157">
        <v>41</v>
      </c>
      <c r="CF157">
        <v>0</v>
      </c>
      <c r="CG157">
        <v>0</v>
      </c>
      <c r="CM157">
        <v>0</v>
      </c>
      <c r="CO157">
        <v>0</v>
      </c>
      <c r="CP157">
        <f t="shared" si="129"/>
        <v>3486.6400000000003</v>
      </c>
      <c r="CQ157">
        <f t="shared" si="130"/>
        <v>0</v>
      </c>
      <c r="CR157">
        <f t="shared" si="131"/>
        <v>3223.8735051</v>
      </c>
      <c r="CS157">
        <f t="shared" si="132"/>
        <v>2198.8884599999997</v>
      </c>
      <c r="CT157">
        <f t="shared" si="133"/>
        <v>9131.314175999998</v>
      </c>
      <c r="CU157">
        <f t="shared" si="134"/>
        <v>0</v>
      </c>
      <c r="CV157">
        <f t="shared" si="135"/>
        <v>40.03728</v>
      </c>
      <c r="CW157">
        <f t="shared" si="136"/>
        <v>0</v>
      </c>
      <c r="CX157">
        <f t="shared" si="137"/>
        <v>0</v>
      </c>
      <c r="CY157">
        <f t="shared" si="138"/>
        <v>1752.2648000000002</v>
      </c>
      <c r="CZ157">
        <f t="shared" si="139"/>
        <v>1056.5126</v>
      </c>
      <c r="DN157">
        <v>80</v>
      </c>
      <c r="DO157">
        <v>55</v>
      </c>
      <c r="DP157">
        <v>1.047</v>
      </c>
      <c r="DQ157">
        <v>1</v>
      </c>
      <c r="DU157">
        <v>1005</v>
      </c>
      <c r="DV157" t="s">
        <v>225</v>
      </c>
      <c r="DW157" t="s">
        <v>225</v>
      </c>
      <c r="DX157">
        <v>100</v>
      </c>
      <c r="EE157">
        <v>34317854</v>
      </c>
      <c r="EF157">
        <v>60</v>
      </c>
      <c r="EG157" t="s">
        <v>87</v>
      </c>
      <c r="EH157">
        <v>0</v>
      </c>
      <c r="EJ157">
        <v>1</v>
      </c>
      <c r="EK157">
        <v>439</v>
      </c>
      <c r="EL157" t="s">
        <v>227</v>
      </c>
      <c r="EM157" t="s">
        <v>228</v>
      </c>
      <c r="EQ157">
        <v>0</v>
      </c>
      <c r="ER157">
        <v>772.33</v>
      </c>
      <c r="ES157">
        <v>0</v>
      </c>
      <c r="ET157">
        <v>344.81</v>
      </c>
      <c r="EU157">
        <v>102.95</v>
      </c>
      <c r="EV157">
        <v>427.52</v>
      </c>
      <c r="EW157">
        <v>38.24</v>
      </c>
      <c r="EX157">
        <v>0</v>
      </c>
      <c r="EY157">
        <v>0</v>
      </c>
      <c r="FQ157">
        <v>0</v>
      </c>
      <c r="FR157">
        <f t="shared" si="140"/>
        <v>0</v>
      </c>
      <c r="FS157">
        <v>0</v>
      </c>
      <c r="FX157">
        <v>80</v>
      </c>
      <c r="FY157">
        <v>55</v>
      </c>
      <c r="GD157">
        <v>0</v>
      </c>
      <c r="GF157">
        <v>1565116155</v>
      </c>
      <c r="GG157">
        <v>2</v>
      </c>
      <c r="GH157">
        <v>1</v>
      </c>
      <c r="GI157">
        <v>2</v>
      </c>
      <c r="GJ157">
        <v>0</v>
      </c>
      <c r="GK157">
        <f>ROUND(R157*(R12)/100,2)</f>
        <v>1036.29</v>
      </c>
      <c r="GL157">
        <f t="shared" si="141"/>
        <v>0</v>
      </c>
      <c r="GM157">
        <f t="shared" si="142"/>
        <v>7331.7</v>
      </c>
      <c r="GN157">
        <f t="shared" si="143"/>
        <v>7331.7</v>
      </c>
      <c r="GO157">
        <f t="shared" si="144"/>
        <v>0</v>
      </c>
      <c r="GP157">
        <f t="shared" si="145"/>
        <v>0</v>
      </c>
      <c r="GT157">
        <v>0</v>
      </c>
      <c r="GU157">
        <v>1</v>
      </c>
      <c r="GV157">
        <v>0</v>
      </c>
      <c r="GW157">
        <v>0</v>
      </c>
      <c r="GX157">
        <f t="shared" si="146"/>
        <v>0</v>
      </c>
    </row>
    <row r="158" spans="1:206" ht="12.75">
      <c r="A158">
        <v>17</v>
      </c>
      <c r="B158">
        <v>1</v>
      </c>
      <c r="C158">
        <f>ROW(SmtRes!A36)</f>
        <v>36</v>
      </c>
      <c r="D158">
        <f>ROW(EtalonRes!A32)</f>
        <v>32</v>
      </c>
      <c r="E158" t="s">
        <v>235</v>
      </c>
      <c r="F158" t="s">
        <v>223</v>
      </c>
      <c r="G158" t="s">
        <v>236</v>
      </c>
      <c r="H158" t="s">
        <v>225</v>
      </c>
      <c r="I158">
        <f>ROUND(106.62/100,9)</f>
        <v>1.0662</v>
      </c>
      <c r="J158">
        <v>0</v>
      </c>
      <c r="O158">
        <f t="shared" si="109"/>
        <v>13173.1</v>
      </c>
      <c r="P158">
        <f t="shared" si="110"/>
        <v>0</v>
      </c>
      <c r="Q158">
        <f t="shared" si="111"/>
        <v>3437.29</v>
      </c>
      <c r="R158">
        <f t="shared" si="112"/>
        <v>2344.45</v>
      </c>
      <c r="S158">
        <f t="shared" si="113"/>
        <v>9735.81</v>
      </c>
      <c r="T158">
        <f t="shared" si="114"/>
        <v>0</v>
      </c>
      <c r="U158">
        <f t="shared" si="115"/>
        <v>42.687747936</v>
      </c>
      <c r="V158">
        <f t="shared" si="116"/>
        <v>0</v>
      </c>
      <c r="W158">
        <f t="shared" si="117"/>
        <v>0</v>
      </c>
      <c r="X158">
        <f t="shared" si="118"/>
        <v>6620.35</v>
      </c>
      <c r="Y158">
        <f t="shared" si="119"/>
        <v>3991.68</v>
      </c>
      <c r="AA158">
        <v>34388368</v>
      </c>
      <c r="AB158">
        <f t="shared" si="120"/>
        <v>772.33</v>
      </c>
      <c r="AC158">
        <f t="shared" si="121"/>
        <v>0</v>
      </c>
      <c r="AD158">
        <f t="shared" si="122"/>
        <v>344.81</v>
      </c>
      <c r="AE158">
        <f t="shared" si="123"/>
        <v>102.95</v>
      </c>
      <c r="AF158">
        <f t="shared" si="124"/>
        <v>427.52</v>
      </c>
      <c r="AG158">
        <f t="shared" si="125"/>
        <v>0</v>
      </c>
      <c r="AH158">
        <f t="shared" si="126"/>
        <v>38.24</v>
      </c>
      <c r="AI158">
        <f t="shared" si="127"/>
        <v>0</v>
      </c>
      <c r="AJ158">
        <f t="shared" si="128"/>
        <v>0</v>
      </c>
      <c r="AK158">
        <v>772.33</v>
      </c>
      <c r="AL158">
        <v>0</v>
      </c>
      <c r="AM158">
        <v>344.81</v>
      </c>
      <c r="AN158">
        <v>102.95</v>
      </c>
      <c r="AO158">
        <v>427.52</v>
      </c>
      <c r="AP158">
        <v>0</v>
      </c>
      <c r="AQ158">
        <v>38.24</v>
      </c>
      <c r="AR158">
        <v>0</v>
      </c>
      <c r="AS158">
        <v>0</v>
      </c>
      <c r="AT158">
        <v>68</v>
      </c>
      <c r="AU158">
        <v>41</v>
      </c>
      <c r="AV158">
        <v>1.047</v>
      </c>
      <c r="AW158">
        <v>1</v>
      </c>
      <c r="AZ158">
        <v>1</v>
      </c>
      <c r="BA158">
        <v>20.4</v>
      </c>
      <c r="BB158">
        <v>8.93</v>
      </c>
      <c r="BC158">
        <v>1</v>
      </c>
      <c r="BH158">
        <v>0</v>
      </c>
      <c r="BI158">
        <v>1</v>
      </c>
      <c r="BJ158" t="s">
        <v>226</v>
      </c>
      <c r="BM158">
        <v>439</v>
      </c>
      <c r="BN158">
        <v>0</v>
      </c>
      <c r="BO158" t="s">
        <v>223</v>
      </c>
      <c r="BP158">
        <v>1</v>
      </c>
      <c r="BQ158">
        <v>60</v>
      </c>
      <c r="BR158">
        <v>0</v>
      </c>
      <c r="BS158">
        <v>20.4</v>
      </c>
      <c r="BT158">
        <v>1</v>
      </c>
      <c r="BU158">
        <v>1</v>
      </c>
      <c r="BV158">
        <v>1</v>
      </c>
      <c r="BW158">
        <v>1</v>
      </c>
      <c r="BX158">
        <v>1</v>
      </c>
      <c r="BZ158">
        <v>68</v>
      </c>
      <c r="CA158">
        <v>41</v>
      </c>
      <c r="CF158">
        <v>0</v>
      </c>
      <c r="CG158">
        <v>0</v>
      </c>
      <c r="CM158">
        <v>0</v>
      </c>
      <c r="CO158">
        <v>0</v>
      </c>
      <c r="CP158">
        <f t="shared" si="129"/>
        <v>13173.099999999999</v>
      </c>
      <c r="CQ158">
        <f t="shared" si="130"/>
        <v>0</v>
      </c>
      <c r="CR158">
        <f t="shared" si="131"/>
        <v>3223.8735051</v>
      </c>
      <c r="CS158">
        <f t="shared" si="132"/>
        <v>2198.8884599999997</v>
      </c>
      <c r="CT158">
        <f t="shared" si="133"/>
        <v>9131.314175999998</v>
      </c>
      <c r="CU158">
        <f t="shared" si="134"/>
        <v>0</v>
      </c>
      <c r="CV158">
        <f t="shared" si="135"/>
        <v>40.03728</v>
      </c>
      <c r="CW158">
        <f t="shared" si="136"/>
        <v>0</v>
      </c>
      <c r="CX158">
        <f t="shared" si="137"/>
        <v>0</v>
      </c>
      <c r="CY158">
        <f t="shared" si="138"/>
        <v>6620.3508</v>
      </c>
      <c r="CZ158">
        <f t="shared" si="139"/>
        <v>3991.6820999999995</v>
      </c>
      <c r="DN158">
        <v>80</v>
      </c>
      <c r="DO158">
        <v>55</v>
      </c>
      <c r="DP158">
        <v>1.047</v>
      </c>
      <c r="DQ158">
        <v>1</v>
      </c>
      <c r="DU158">
        <v>1005</v>
      </c>
      <c r="DV158" t="s">
        <v>225</v>
      </c>
      <c r="DW158" t="s">
        <v>225</v>
      </c>
      <c r="DX158">
        <v>100</v>
      </c>
      <c r="EE158">
        <v>34317854</v>
      </c>
      <c r="EF158">
        <v>60</v>
      </c>
      <c r="EG158" t="s">
        <v>87</v>
      </c>
      <c r="EH158">
        <v>0</v>
      </c>
      <c r="EJ158">
        <v>1</v>
      </c>
      <c r="EK158">
        <v>439</v>
      </c>
      <c r="EL158" t="s">
        <v>227</v>
      </c>
      <c r="EM158" t="s">
        <v>228</v>
      </c>
      <c r="EQ158">
        <v>0</v>
      </c>
      <c r="ER158">
        <v>772.33</v>
      </c>
      <c r="ES158">
        <v>0</v>
      </c>
      <c r="ET158">
        <v>344.81</v>
      </c>
      <c r="EU158">
        <v>102.95</v>
      </c>
      <c r="EV158">
        <v>427.52</v>
      </c>
      <c r="EW158">
        <v>38.24</v>
      </c>
      <c r="EX158">
        <v>0</v>
      </c>
      <c r="EY158">
        <v>0</v>
      </c>
      <c r="FQ158">
        <v>0</v>
      </c>
      <c r="FR158">
        <f t="shared" si="140"/>
        <v>0</v>
      </c>
      <c r="FS158">
        <v>0</v>
      </c>
      <c r="FX158">
        <v>80</v>
      </c>
      <c r="FY158">
        <v>55</v>
      </c>
      <c r="GD158">
        <v>0</v>
      </c>
      <c r="GF158">
        <v>861585002</v>
      </c>
      <c r="GG158">
        <v>2</v>
      </c>
      <c r="GH158">
        <v>1</v>
      </c>
      <c r="GI158">
        <v>2</v>
      </c>
      <c r="GJ158">
        <v>0</v>
      </c>
      <c r="GK158">
        <f>ROUND(R158*(R12)/100,2)</f>
        <v>3915.23</v>
      </c>
      <c r="GL158">
        <f t="shared" si="141"/>
        <v>0</v>
      </c>
      <c r="GM158">
        <f t="shared" si="142"/>
        <v>27700.36</v>
      </c>
      <c r="GN158">
        <f t="shared" si="143"/>
        <v>27700.36</v>
      </c>
      <c r="GO158">
        <f t="shared" si="144"/>
        <v>0</v>
      </c>
      <c r="GP158">
        <f t="shared" si="145"/>
        <v>0</v>
      </c>
      <c r="GT158">
        <v>0</v>
      </c>
      <c r="GU158">
        <v>1</v>
      </c>
      <c r="GV158">
        <v>0</v>
      </c>
      <c r="GW158">
        <v>0</v>
      </c>
      <c r="GX158">
        <f t="shared" si="146"/>
        <v>0</v>
      </c>
    </row>
    <row r="159" spans="1:206" ht="12.75">
      <c r="A159">
        <v>17</v>
      </c>
      <c r="B159">
        <v>1</v>
      </c>
      <c r="C159">
        <f>ROW(SmtRes!A44)</f>
        <v>44</v>
      </c>
      <c r="D159">
        <f>ROW(EtalonRes!A40)</f>
        <v>40</v>
      </c>
      <c r="E159" t="s">
        <v>237</v>
      </c>
      <c r="F159" t="s">
        <v>238</v>
      </c>
      <c r="G159" t="s">
        <v>239</v>
      </c>
      <c r="H159" t="s">
        <v>24</v>
      </c>
      <c r="I159">
        <f>ROUND(13.28/100,9)</f>
        <v>0.1328</v>
      </c>
      <c r="J159">
        <v>0</v>
      </c>
      <c r="O159">
        <f t="shared" si="109"/>
        <v>1294.27</v>
      </c>
      <c r="P159">
        <f t="shared" si="110"/>
        <v>19.94</v>
      </c>
      <c r="Q159">
        <f t="shared" si="111"/>
        <v>844.64</v>
      </c>
      <c r="R159">
        <f t="shared" si="112"/>
        <v>337.68</v>
      </c>
      <c r="S159">
        <f t="shared" si="113"/>
        <v>429.69</v>
      </c>
      <c r="T159">
        <f t="shared" si="114"/>
        <v>0</v>
      </c>
      <c r="U159">
        <f t="shared" si="115"/>
        <v>2.00219904</v>
      </c>
      <c r="V159">
        <f t="shared" si="116"/>
        <v>0</v>
      </c>
      <c r="W159">
        <f t="shared" si="117"/>
        <v>0</v>
      </c>
      <c r="X159">
        <f t="shared" si="118"/>
        <v>562.89</v>
      </c>
      <c r="Y159">
        <f t="shared" si="119"/>
        <v>232.03</v>
      </c>
      <c r="AA159">
        <v>34388368</v>
      </c>
      <c r="AB159">
        <f t="shared" si="120"/>
        <v>863.31</v>
      </c>
      <c r="AC159">
        <f t="shared" si="121"/>
        <v>35.35</v>
      </c>
      <c r="AD159">
        <f t="shared" si="122"/>
        <v>676.47</v>
      </c>
      <c r="AE159">
        <f t="shared" si="123"/>
        <v>119.05</v>
      </c>
      <c r="AF159">
        <f t="shared" si="124"/>
        <v>151.49</v>
      </c>
      <c r="AG159">
        <f t="shared" si="125"/>
        <v>0</v>
      </c>
      <c r="AH159">
        <f t="shared" si="126"/>
        <v>14.4</v>
      </c>
      <c r="AI159">
        <f t="shared" si="127"/>
        <v>0</v>
      </c>
      <c r="AJ159">
        <f t="shared" si="128"/>
        <v>0</v>
      </c>
      <c r="AK159">
        <v>863.31</v>
      </c>
      <c r="AL159">
        <v>35.35</v>
      </c>
      <c r="AM159">
        <v>676.47</v>
      </c>
      <c r="AN159">
        <v>119.05</v>
      </c>
      <c r="AO159">
        <v>151.49</v>
      </c>
      <c r="AP159">
        <v>0</v>
      </c>
      <c r="AQ159">
        <v>14.4</v>
      </c>
      <c r="AR159">
        <v>0</v>
      </c>
      <c r="AS159">
        <v>0</v>
      </c>
      <c r="AT159">
        <v>131</v>
      </c>
      <c r="AU159">
        <v>54</v>
      </c>
      <c r="AV159">
        <v>1.047</v>
      </c>
      <c r="AW159">
        <v>1.002</v>
      </c>
      <c r="AZ159">
        <v>1</v>
      </c>
      <c r="BA159">
        <v>20.4</v>
      </c>
      <c r="BB159">
        <v>8.98</v>
      </c>
      <c r="BC159">
        <v>4.24</v>
      </c>
      <c r="BH159">
        <v>0</v>
      </c>
      <c r="BI159">
        <v>1</v>
      </c>
      <c r="BJ159" t="s">
        <v>240</v>
      </c>
      <c r="BM159">
        <v>146</v>
      </c>
      <c r="BN159">
        <v>0</v>
      </c>
      <c r="BO159" t="s">
        <v>238</v>
      </c>
      <c r="BP159">
        <v>1</v>
      </c>
      <c r="BQ159">
        <v>30</v>
      </c>
      <c r="BR159">
        <v>0</v>
      </c>
      <c r="BS159">
        <v>20.4</v>
      </c>
      <c r="BT159">
        <v>1</v>
      </c>
      <c r="BU159">
        <v>1</v>
      </c>
      <c r="BV159">
        <v>1</v>
      </c>
      <c r="BW159">
        <v>1</v>
      </c>
      <c r="BX159">
        <v>1</v>
      </c>
      <c r="BZ159">
        <v>131</v>
      </c>
      <c r="CA159">
        <v>54</v>
      </c>
      <c r="CF159">
        <v>0</v>
      </c>
      <c r="CG159">
        <v>0</v>
      </c>
      <c r="CM159">
        <v>0</v>
      </c>
      <c r="CO159">
        <v>0</v>
      </c>
      <c r="CP159">
        <f t="shared" si="129"/>
        <v>1294.27</v>
      </c>
      <c r="CQ159">
        <f t="shared" si="130"/>
        <v>150.18376800000001</v>
      </c>
      <c r="CR159">
        <f t="shared" si="131"/>
        <v>6360.2115281999995</v>
      </c>
      <c r="CS159">
        <f t="shared" si="132"/>
        <v>2542.7651399999995</v>
      </c>
      <c r="CT159">
        <f t="shared" si="133"/>
        <v>3235.644612</v>
      </c>
      <c r="CU159">
        <f t="shared" si="134"/>
        <v>0</v>
      </c>
      <c r="CV159">
        <f t="shared" si="135"/>
        <v>15.076799999999999</v>
      </c>
      <c r="CW159">
        <f t="shared" si="136"/>
        <v>0</v>
      </c>
      <c r="CX159">
        <f t="shared" si="137"/>
        <v>0</v>
      </c>
      <c r="CY159">
        <f t="shared" si="138"/>
        <v>562.8939</v>
      </c>
      <c r="CZ159">
        <f t="shared" si="139"/>
        <v>232.0326</v>
      </c>
      <c r="DN159">
        <v>161</v>
      </c>
      <c r="DO159">
        <v>107</v>
      </c>
      <c r="DP159">
        <v>1.047</v>
      </c>
      <c r="DQ159">
        <v>1.002</v>
      </c>
      <c r="DU159">
        <v>1007</v>
      </c>
      <c r="DV159" t="s">
        <v>24</v>
      </c>
      <c r="DW159" t="s">
        <v>24</v>
      </c>
      <c r="DX159">
        <v>100</v>
      </c>
      <c r="EE159">
        <v>34317561</v>
      </c>
      <c r="EF159">
        <v>30</v>
      </c>
      <c r="EG159" t="s">
        <v>28</v>
      </c>
      <c r="EH159">
        <v>0</v>
      </c>
      <c r="EJ159">
        <v>1</v>
      </c>
      <c r="EK159">
        <v>146</v>
      </c>
      <c r="EL159" t="s">
        <v>241</v>
      </c>
      <c r="EM159" t="s">
        <v>242</v>
      </c>
      <c r="EQ159">
        <v>0</v>
      </c>
      <c r="ER159">
        <v>863.31</v>
      </c>
      <c r="ES159">
        <v>35.35</v>
      </c>
      <c r="ET159">
        <v>676.47</v>
      </c>
      <c r="EU159">
        <v>119.05</v>
      </c>
      <c r="EV159">
        <v>151.49</v>
      </c>
      <c r="EW159">
        <v>14.4</v>
      </c>
      <c r="EX159">
        <v>0</v>
      </c>
      <c r="EY159">
        <v>0</v>
      </c>
      <c r="FQ159">
        <v>0</v>
      </c>
      <c r="FR159">
        <f t="shared" si="140"/>
        <v>0</v>
      </c>
      <c r="FS159">
        <v>0</v>
      </c>
      <c r="FX159">
        <v>161</v>
      </c>
      <c r="FY159">
        <v>107</v>
      </c>
      <c r="GD159">
        <v>0</v>
      </c>
      <c r="GF159">
        <v>603877523</v>
      </c>
      <c r="GG159">
        <v>2</v>
      </c>
      <c r="GH159">
        <v>1</v>
      </c>
      <c r="GI159">
        <v>2</v>
      </c>
      <c r="GJ159">
        <v>0</v>
      </c>
      <c r="GK159">
        <f>ROUND(R159*(R12)/100,2)</f>
        <v>563.93</v>
      </c>
      <c r="GL159">
        <f t="shared" si="141"/>
        <v>0</v>
      </c>
      <c r="GM159">
        <f t="shared" si="142"/>
        <v>2653.12</v>
      </c>
      <c r="GN159">
        <f t="shared" si="143"/>
        <v>2653.12</v>
      </c>
      <c r="GO159">
        <f t="shared" si="144"/>
        <v>0</v>
      </c>
      <c r="GP159">
        <f t="shared" si="145"/>
        <v>0</v>
      </c>
      <c r="GT159">
        <v>0</v>
      </c>
      <c r="GU159">
        <v>1</v>
      </c>
      <c r="GV159">
        <v>0</v>
      </c>
      <c r="GW159">
        <v>0</v>
      </c>
      <c r="GX159">
        <f t="shared" si="146"/>
        <v>0</v>
      </c>
    </row>
    <row r="160" spans="1:206" ht="12.75">
      <c r="A160">
        <v>18</v>
      </c>
      <c r="B160">
        <v>1</v>
      </c>
      <c r="C160">
        <v>44</v>
      </c>
      <c r="E160" t="s">
        <v>243</v>
      </c>
      <c r="F160" t="s">
        <v>40</v>
      </c>
      <c r="G160" t="s">
        <v>41</v>
      </c>
      <c r="H160" t="s">
        <v>42</v>
      </c>
      <c r="I160">
        <f>I159*J160</f>
        <v>13.28</v>
      </c>
      <c r="J160">
        <v>100</v>
      </c>
      <c r="O160">
        <f t="shared" si="109"/>
        <v>7613.95</v>
      </c>
      <c r="P160">
        <f t="shared" si="110"/>
        <v>7613.95</v>
      </c>
      <c r="Q160">
        <f t="shared" si="111"/>
        <v>0</v>
      </c>
      <c r="R160">
        <f t="shared" si="112"/>
        <v>0</v>
      </c>
      <c r="S160">
        <f t="shared" si="113"/>
        <v>0</v>
      </c>
      <c r="T160">
        <f t="shared" si="114"/>
        <v>0</v>
      </c>
      <c r="U160">
        <f t="shared" si="115"/>
        <v>0</v>
      </c>
      <c r="V160">
        <f t="shared" si="116"/>
        <v>0</v>
      </c>
      <c r="W160">
        <f t="shared" si="117"/>
        <v>0</v>
      </c>
      <c r="X160">
        <f t="shared" si="118"/>
        <v>0</v>
      </c>
      <c r="Y160">
        <f t="shared" si="119"/>
        <v>0</v>
      </c>
      <c r="AA160">
        <v>34388368</v>
      </c>
      <c r="AB160">
        <f t="shared" si="120"/>
        <v>104.99</v>
      </c>
      <c r="AC160">
        <f t="shared" si="121"/>
        <v>104.99</v>
      </c>
      <c r="AD160">
        <f t="shared" si="122"/>
        <v>0</v>
      </c>
      <c r="AE160">
        <f t="shared" si="123"/>
        <v>0</v>
      </c>
      <c r="AF160">
        <f t="shared" si="124"/>
        <v>0</v>
      </c>
      <c r="AG160">
        <f t="shared" si="125"/>
        <v>0</v>
      </c>
      <c r="AH160">
        <f t="shared" si="126"/>
        <v>0</v>
      </c>
      <c r="AI160">
        <f t="shared" si="127"/>
        <v>0</v>
      </c>
      <c r="AJ160">
        <f t="shared" si="128"/>
        <v>0</v>
      </c>
      <c r="AK160">
        <v>104.99</v>
      </c>
      <c r="AL160">
        <v>104.99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  <c r="AS160">
        <v>0</v>
      </c>
      <c r="AT160">
        <v>0</v>
      </c>
      <c r="AU160">
        <v>0</v>
      </c>
      <c r="AV160">
        <v>1</v>
      </c>
      <c r="AW160">
        <v>1.002</v>
      </c>
      <c r="AZ160">
        <v>1</v>
      </c>
      <c r="BA160">
        <v>1</v>
      </c>
      <c r="BB160">
        <v>1</v>
      </c>
      <c r="BC160">
        <v>5.45</v>
      </c>
      <c r="BH160">
        <v>3</v>
      </c>
      <c r="BI160">
        <v>1</v>
      </c>
      <c r="BJ160" t="s">
        <v>43</v>
      </c>
      <c r="BM160">
        <v>141</v>
      </c>
      <c r="BN160">
        <v>0</v>
      </c>
      <c r="BO160" t="s">
        <v>40</v>
      </c>
      <c r="BP160">
        <v>1</v>
      </c>
      <c r="BQ160">
        <v>30</v>
      </c>
      <c r="BR160">
        <v>0</v>
      </c>
      <c r="BS160">
        <v>1</v>
      </c>
      <c r="BT160">
        <v>1</v>
      </c>
      <c r="BU160">
        <v>1</v>
      </c>
      <c r="BV160">
        <v>1</v>
      </c>
      <c r="BW160">
        <v>1</v>
      </c>
      <c r="BX160">
        <v>1</v>
      </c>
      <c r="BZ160">
        <v>0</v>
      </c>
      <c r="CA160">
        <v>0</v>
      </c>
      <c r="CF160">
        <v>0</v>
      </c>
      <c r="CG160">
        <v>0</v>
      </c>
      <c r="CM160">
        <v>0</v>
      </c>
      <c r="CO160">
        <v>0</v>
      </c>
      <c r="CP160">
        <f t="shared" si="129"/>
        <v>7613.95</v>
      </c>
      <c r="CQ160">
        <f t="shared" si="130"/>
        <v>573.3398910000001</v>
      </c>
      <c r="CR160">
        <f t="shared" si="131"/>
        <v>0</v>
      </c>
      <c r="CS160">
        <f t="shared" si="132"/>
        <v>0</v>
      </c>
      <c r="CT160">
        <f t="shared" si="133"/>
        <v>0</v>
      </c>
      <c r="CU160">
        <f t="shared" si="134"/>
        <v>0</v>
      </c>
      <c r="CV160">
        <f t="shared" si="135"/>
        <v>0</v>
      </c>
      <c r="CW160">
        <f t="shared" si="136"/>
        <v>0</v>
      </c>
      <c r="CX160">
        <f t="shared" si="137"/>
        <v>0</v>
      </c>
      <c r="CY160">
        <f t="shared" si="138"/>
        <v>0</v>
      </c>
      <c r="CZ160">
        <f t="shared" si="139"/>
        <v>0</v>
      </c>
      <c r="DN160">
        <v>133</v>
      </c>
      <c r="DO160">
        <v>113</v>
      </c>
      <c r="DP160">
        <v>1.067</v>
      </c>
      <c r="DQ160">
        <v>1.003</v>
      </c>
      <c r="DU160">
        <v>1007</v>
      </c>
      <c r="DV160" t="s">
        <v>42</v>
      </c>
      <c r="DW160" t="s">
        <v>42</v>
      </c>
      <c r="DX160">
        <v>1</v>
      </c>
      <c r="EE160">
        <v>34317556</v>
      </c>
      <c r="EF160">
        <v>30</v>
      </c>
      <c r="EG160" t="s">
        <v>28</v>
      </c>
      <c r="EH160">
        <v>0</v>
      </c>
      <c r="EJ160">
        <v>1</v>
      </c>
      <c r="EK160">
        <v>141</v>
      </c>
      <c r="EL160" t="s">
        <v>37</v>
      </c>
      <c r="EM160" t="s">
        <v>38</v>
      </c>
      <c r="EQ160">
        <v>0</v>
      </c>
      <c r="ER160">
        <v>104.99</v>
      </c>
      <c r="ES160">
        <v>104.99</v>
      </c>
      <c r="ET160">
        <v>0</v>
      </c>
      <c r="EU160">
        <v>0</v>
      </c>
      <c r="EV160">
        <v>0</v>
      </c>
      <c r="EW160">
        <v>0</v>
      </c>
      <c r="EX160">
        <v>0</v>
      </c>
      <c r="FQ160">
        <v>0</v>
      </c>
      <c r="FR160">
        <f t="shared" si="140"/>
        <v>0</v>
      </c>
      <c r="FS160">
        <v>0</v>
      </c>
      <c r="FX160">
        <v>133</v>
      </c>
      <c r="FY160">
        <v>113</v>
      </c>
      <c r="GD160">
        <v>0</v>
      </c>
      <c r="GF160">
        <v>-419971176</v>
      </c>
      <c r="GG160">
        <v>2</v>
      </c>
      <c r="GH160">
        <v>1</v>
      </c>
      <c r="GI160">
        <v>2</v>
      </c>
      <c r="GJ160">
        <v>0</v>
      </c>
      <c r="GK160">
        <f>ROUND(R160*(R12)/100,2)</f>
        <v>0</v>
      </c>
      <c r="GL160">
        <f t="shared" si="141"/>
        <v>0</v>
      </c>
      <c r="GM160">
        <f t="shared" si="142"/>
        <v>7613.95</v>
      </c>
      <c r="GN160">
        <f t="shared" si="143"/>
        <v>7613.95</v>
      </c>
      <c r="GO160">
        <f t="shared" si="144"/>
        <v>0</v>
      </c>
      <c r="GP160">
        <f t="shared" si="145"/>
        <v>0</v>
      </c>
      <c r="GT160">
        <v>0</v>
      </c>
      <c r="GU160">
        <v>1</v>
      </c>
      <c r="GV160">
        <v>0</v>
      </c>
      <c r="GW160">
        <v>0</v>
      </c>
      <c r="GX160">
        <f t="shared" si="146"/>
        <v>0</v>
      </c>
    </row>
    <row r="161" spans="1:206" ht="12.75">
      <c r="A161">
        <v>17</v>
      </c>
      <c r="B161">
        <v>1</v>
      </c>
      <c r="C161">
        <f>ROW(SmtRes!A53)</f>
        <v>53</v>
      </c>
      <c r="D161">
        <f>ROW(EtalonRes!A49)</f>
        <v>49</v>
      </c>
      <c r="E161" t="s">
        <v>244</v>
      </c>
      <c r="F161" t="s">
        <v>245</v>
      </c>
      <c r="G161" t="s">
        <v>246</v>
      </c>
      <c r="H161" t="s">
        <v>24</v>
      </c>
      <c r="I161">
        <f>ROUND(4/100,9)</f>
        <v>0.04</v>
      </c>
      <c r="J161">
        <v>0</v>
      </c>
      <c r="O161">
        <f t="shared" si="109"/>
        <v>1711.22</v>
      </c>
      <c r="P161">
        <f t="shared" si="110"/>
        <v>8.41</v>
      </c>
      <c r="Q161">
        <f t="shared" si="111"/>
        <v>1508.68</v>
      </c>
      <c r="R161">
        <f t="shared" si="112"/>
        <v>540.12</v>
      </c>
      <c r="S161">
        <f t="shared" si="113"/>
        <v>194.13</v>
      </c>
      <c r="T161">
        <f t="shared" si="114"/>
        <v>0</v>
      </c>
      <c r="U161">
        <f t="shared" si="115"/>
        <v>0.9046080000000001</v>
      </c>
      <c r="V161">
        <f t="shared" si="116"/>
        <v>0</v>
      </c>
      <c r="W161">
        <f t="shared" si="117"/>
        <v>0</v>
      </c>
      <c r="X161">
        <f t="shared" si="118"/>
        <v>254.31</v>
      </c>
      <c r="Y161">
        <f t="shared" si="119"/>
        <v>104.83</v>
      </c>
      <c r="AA161">
        <v>34388368</v>
      </c>
      <c r="AB161">
        <f t="shared" si="120"/>
        <v>3301.39</v>
      </c>
      <c r="AC161">
        <f t="shared" si="121"/>
        <v>49.49</v>
      </c>
      <c r="AD161">
        <f t="shared" si="122"/>
        <v>3024.67</v>
      </c>
      <c r="AE161">
        <f t="shared" si="123"/>
        <v>632.2</v>
      </c>
      <c r="AF161">
        <f t="shared" si="124"/>
        <v>227.23</v>
      </c>
      <c r="AG161">
        <f t="shared" si="125"/>
        <v>0</v>
      </c>
      <c r="AH161">
        <f t="shared" si="126"/>
        <v>21.6</v>
      </c>
      <c r="AI161">
        <f t="shared" si="127"/>
        <v>0</v>
      </c>
      <c r="AJ161">
        <f t="shared" si="128"/>
        <v>0</v>
      </c>
      <c r="AK161">
        <v>3301.39</v>
      </c>
      <c r="AL161">
        <v>49.49</v>
      </c>
      <c r="AM161">
        <v>3024.67</v>
      </c>
      <c r="AN161">
        <v>632.2</v>
      </c>
      <c r="AO161">
        <v>227.23</v>
      </c>
      <c r="AP161">
        <v>0</v>
      </c>
      <c r="AQ161">
        <v>21.6</v>
      </c>
      <c r="AR161">
        <v>0</v>
      </c>
      <c r="AS161">
        <v>0</v>
      </c>
      <c r="AT161">
        <v>131</v>
      </c>
      <c r="AU161">
        <v>54</v>
      </c>
      <c r="AV161">
        <v>1.047</v>
      </c>
      <c r="AW161">
        <v>1.002</v>
      </c>
      <c r="AZ161">
        <v>1</v>
      </c>
      <c r="BA161">
        <v>20.4</v>
      </c>
      <c r="BB161">
        <v>11.91</v>
      </c>
      <c r="BC161">
        <v>4.24</v>
      </c>
      <c r="BH161">
        <v>0</v>
      </c>
      <c r="BI161">
        <v>1</v>
      </c>
      <c r="BJ161" t="s">
        <v>247</v>
      </c>
      <c r="BM161">
        <v>146</v>
      </c>
      <c r="BN161">
        <v>0</v>
      </c>
      <c r="BO161" t="s">
        <v>245</v>
      </c>
      <c r="BP161">
        <v>1</v>
      </c>
      <c r="BQ161">
        <v>30</v>
      </c>
      <c r="BR161">
        <v>0</v>
      </c>
      <c r="BS161">
        <v>20.4</v>
      </c>
      <c r="BT161">
        <v>1</v>
      </c>
      <c r="BU161">
        <v>1</v>
      </c>
      <c r="BV161">
        <v>1</v>
      </c>
      <c r="BW161">
        <v>1</v>
      </c>
      <c r="BX161">
        <v>1</v>
      </c>
      <c r="BZ161">
        <v>131</v>
      </c>
      <c r="CA161">
        <v>54</v>
      </c>
      <c r="CF161">
        <v>0</v>
      </c>
      <c r="CG161">
        <v>0</v>
      </c>
      <c r="CM161">
        <v>0</v>
      </c>
      <c r="CO161">
        <v>0</v>
      </c>
      <c r="CP161">
        <f t="shared" si="129"/>
        <v>1711.2200000000003</v>
      </c>
      <c r="CQ161">
        <f t="shared" si="130"/>
        <v>210.2572752</v>
      </c>
      <c r="CR161">
        <f t="shared" si="131"/>
        <v>37716.939225899994</v>
      </c>
      <c r="CS161">
        <f t="shared" si="132"/>
        <v>13503.033359999998</v>
      </c>
      <c r="CT161">
        <f t="shared" si="133"/>
        <v>4853.360123999999</v>
      </c>
      <c r="CU161">
        <f t="shared" si="134"/>
        <v>0</v>
      </c>
      <c r="CV161">
        <f t="shared" si="135"/>
        <v>22.6152</v>
      </c>
      <c r="CW161">
        <f t="shared" si="136"/>
        <v>0</v>
      </c>
      <c r="CX161">
        <f t="shared" si="137"/>
        <v>0</v>
      </c>
      <c r="CY161">
        <f t="shared" si="138"/>
        <v>254.3103</v>
      </c>
      <c r="CZ161">
        <f t="shared" si="139"/>
        <v>104.8302</v>
      </c>
      <c r="DN161">
        <v>161</v>
      </c>
      <c r="DO161">
        <v>107</v>
      </c>
      <c r="DP161">
        <v>1.047</v>
      </c>
      <c r="DQ161">
        <v>1.002</v>
      </c>
      <c r="DU161">
        <v>1007</v>
      </c>
      <c r="DV161" t="s">
        <v>24</v>
      </c>
      <c r="DW161" t="s">
        <v>24</v>
      </c>
      <c r="DX161">
        <v>100</v>
      </c>
      <c r="EE161">
        <v>34317561</v>
      </c>
      <c r="EF161">
        <v>30</v>
      </c>
      <c r="EG161" t="s">
        <v>28</v>
      </c>
      <c r="EH161">
        <v>0</v>
      </c>
      <c r="EJ161">
        <v>1</v>
      </c>
      <c r="EK161">
        <v>146</v>
      </c>
      <c r="EL161" t="s">
        <v>241</v>
      </c>
      <c r="EM161" t="s">
        <v>242</v>
      </c>
      <c r="EQ161">
        <v>0</v>
      </c>
      <c r="ER161">
        <v>3301.39</v>
      </c>
      <c r="ES161">
        <v>49.49</v>
      </c>
      <c r="ET161">
        <v>3024.67</v>
      </c>
      <c r="EU161">
        <v>632.2</v>
      </c>
      <c r="EV161">
        <v>227.23</v>
      </c>
      <c r="EW161">
        <v>21.6</v>
      </c>
      <c r="EX161">
        <v>0</v>
      </c>
      <c r="EY161">
        <v>0</v>
      </c>
      <c r="FQ161">
        <v>0</v>
      </c>
      <c r="FR161">
        <f t="shared" si="140"/>
        <v>0</v>
      </c>
      <c r="FS161">
        <v>0</v>
      </c>
      <c r="FX161">
        <v>161</v>
      </c>
      <c r="FY161">
        <v>107</v>
      </c>
      <c r="GD161">
        <v>0</v>
      </c>
      <c r="GF161">
        <v>1060070071</v>
      </c>
      <c r="GG161">
        <v>2</v>
      </c>
      <c r="GH161">
        <v>1</v>
      </c>
      <c r="GI161">
        <v>2</v>
      </c>
      <c r="GJ161">
        <v>0</v>
      </c>
      <c r="GK161">
        <f>ROUND(R161*(R12)/100,2)</f>
        <v>902</v>
      </c>
      <c r="GL161">
        <f t="shared" si="141"/>
        <v>0</v>
      </c>
      <c r="GM161">
        <f t="shared" si="142"/>
        <v>2972.36</v>
      </c>
      <c r="GN161">
        <f t="shared" si="143"/>
        <v>2972.36</v>
      </c>
      <c r="GO161">
        <f t="shared" si="144"/>
        <v>0</v>
      </c>
      <c r="GP161">
        <f t="shared" si="145"/>
        <v>0</v>
      </c>
      <c r="GT161">
        <v>0</v>
      </c>
      <c r="GU161">
        <v>1</v>
      </c>
      <c r="GV161">
        <v>0</v>
      </c>
      <c r="GW161">
        <v>0</v>
      </c>
      <c r="GX161">
        <f t="shared" si="146"/>
        <v>0</v>
      </c>
    </row>
    <row r="162" spans="1:206" ht="12.75">
      <c r="A162">
        <v>18</v>
      </c>
      <c r="B162">
        <v>1</v>
      </c>
      <c r="C162">
        <v>53</v>
      </c>
      <c r="E162" t="s">
        <v>248</v>
      </c>
      <c r="F162" t="s">
        <v>249</v>
      </c>
      <c r="G162" t="s">
        <v>250</v>
      </c>
      <c r="H162" t="s">
        <v>42</v>
      </c>
      <c r="I162">
        <f>I161*J162</f>
        <v>4</v>
      </c>
      <c r="J162">
        <v>100</v>
      </c>
      <c r="O162">
        <f t="shared" si="109"/>
        <v>6046.72</v>
      </c>
      <c r="P162">
        <f t="shared" si="110"/>
        <v>6046.72</v>
      </c>
      <c r="Q162">
        <f t="shared" si="111"/>
        <v>0</v>
      </c>
      <c r="R162">
        <f t="shared" si="112"/>
        <v>0</v>
      </c>
      <c r="S162">
        <f t="shared" si="113"/>
        <v>0</v>
      </c>
      <c r="T162">
        <f t="shared" si="114"/>
        <v>0</v>
      </c>
      <c r="U162">
        <f t="shared" si="115"/>
        <v>0</v>
      </c>
      <c r="V162">
        <f t="shared" si="116"/>
        <v>0</v>
      </c>
      <c r="W162">
        <f t="shared" si="117"/>
        <v>0</v>
      </c>
      <c r="X162">
        <f t="shared" si="118"/>
        <v>0</v>
      </c>
      <c r="Y162">
        <f t="shared" si="119"/>
        <v>0</v>
      </c>
      <c r="AA162">
        <v>34388368</v>
      </c>
      <c r="AB162">
        <f t="shared" si="120"/>
        <v>183.09</v>
      </c>
      <c r="AC162">
        <f t="shared" si="121"/>
        <v>183.09</v>
      </c>
      <c r="AD162">
        <f t="shared" si="122"/>
        <v>0</v>
      </c>
      <c r="AE162">
        <f t="shared" si="123"/>
        <v>0</v>
      </c>
      <c r="AF162">
        <f t="shared" si="124"/>
        <v>0</v>
      </c>
      <c r="AG162">
        <f t="shared" si="125"/>
        <v>0</v>
      </c>
      <c r="AH162">
        <f t="shared" si="126"/>
        <v>0</v>
      </c>
      <c r="AI162">
        <f t="shared" si="127"/>
        <v>0</v>
      </c>
      <c r="AJ162">
        <f t="shared" si="128"/>
        <v>0</v>
      </c>
      <c r="AK162">
        <v>183.09</v>
      </c>
      <c r="AL162">
        <v>183.09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  <c r="AS162">
        <v>0</v>
      </c>
      <c r="AT162">
        <v>0</v>
      </c>
      <c r="AU162">
        <v>0</v>
      </c>
      <c r="AV162">
        <v>1</v>
      </c>
      <c r="AW162">
        <v>1.002</v>
      </c>
      <c r="AZ162">
        <v>1</v>
      </c>
      <c r="BA162">
        <v>1</v>
      </c>
      <c r="BB162">
        <v>1</v>
      </c>
      <c r="BC162">
        <v>8.24</v>
      </c>
      <c r="BH162">
        <v>3</v>
      </c>
      <c r="BI162">
        <v>1</v>
      </c>
      <c r="BJ162" t="s">
        <v>251</v>
      </c>
      <c r="BM162">
        <v>146</v>
      </c>
      <c r="BN162">
        <v>0</v>
      </c>
      <c r="BO162" t="s">
        <v>249</v>
      </c>
      <c r="BP162">
        <v>1</v>
      </c>
      <c r="BQ162">
        <v>30</v>
      </c>
      <c r="BR162">
        <v>0</v>
      </c>
      <c r="BS162">
        <v>1</v>
      </c>
      <c r="BT162">
        <v>1</v>
      </c>
      <c r="BU162">
        <v>1</v>
      </c>
      <c r="BV162">
        <v>1</v>
      </c>
      <c r="BW162">
        <v>1</v>
      </c>
      <c r="BX162">
        <v>1</v>
      </c>
      <c r="BZ162">
        <v>0</v>
      </c>
      <c r="CA162">
        <v>0</v>
      </c>
      <c r="CF162">
        <v>0</v>
      </c>
      <c r="CG162">
        <v>0</v>
      </c>
      <c r="CM162">
        <v>0</v>
      </c>
      <c r="CO162">
        <v>0</v>
      </c>
      <c r="CP162">
        <f t="shared" si="129"/>
        <v>6046.72</v>
      </c>
      <c r="CQ162">
        <f t="shared" si="130"/>
        <v>1511.6789232</v>
      </c>
      <c r="CR162">
        <f t="shared" si="131"/>
        <v>0</v>
      </c>
      <c r="CS162">
        <f t="shared" si="132"/>
        <v>0</v>
      </c>
      <c r="CT162">
        <f t="shared" si="133"/>
        <v>0</v>
      </c>
      <c r="CU162">
        <f t="shared" si="134"/>
        <v>0</v>
      </c>
      <c r="CV162">
        <f t="shared" si="135"/>
        <v>0</v>
      </c>
      <c r="CW162">
        <f t="shared" si="136"/>
        <v>0</v>
      </c>
      <c r="CX162">
        <f t="shared" si="137"/>
        <v>0</v>
      </c>
      <c r="CY162">
        <f t="shared" si="138"/>
        <v>0</v>
      </c>
      <c r="CZ162">
        <f t="shared" si="139"/>
        <v>0</v>
      </c>
      <c r="DN162">
        <v>161</v>
      </c>
      <c r="DO162">
        <v>107</v>
      </c>
      <c r="DP162">
        <v>1.047</v>
      </c>
      <c r="DQ162">
        <v>1.002</v>
      </c>
      <c r="DU162">
        <v>1007</v>
      </c>
      <c r="DV162" t="s">
        <v>42</v>
      </c>
      <c r="DW162" t="s">
        <v>42</v>
      </c>
      <c r="DX162">
        <v>1</v>
      </c>
      <c r="EE162">
        <v>34317561</v>
      </c>
      <c r="EF162">
        <v>30</v>
      </c>
      <c r="EG162" t="s">
        <v>28</v>
      </c>
      <c r="EH162">
        <v>0</v>
      </c>
      <c r="EJ162">
        <v>1</v>
      </c>
      <c r="EK162">
        <v>146</v>
      </c>
      <c r="EL162" t="s">
        <v>241</v>
      </c>
      <c r="EM162" t="s">
        <v>242</v>
      </c>
      <c r="EQ162">
        <v>0</v>
      </c>
      <c r="ER162">
        <v>183.09</v>
      </c>
      <c r="ES162">
        <v>183.09</v>
      </c>
      <c r="ET162">
        <v>0</v>
      </c>
      <c r="EU162">
        <v>0</v>
      </c>
      <c r="EV162">
        <v>0</v>
      </c>
      <c r="EW162">
        <v>0</v>
      </c>
      <c r="EX162">
        <v>0</v>
      </c>
      <c r="FQ162">
        <v>0</v>
      </c>
      <c r="FR162">
        <f t="shared" si="140"/>
        <v>0</v>
      </c>
      <c r="FS162">
        <v>0</v>
      </c>
      <c r="FX162">
        <v>161</v>
      </c>
      <c r="FY162">
        <v>107</v>
      </c>
      <c r="GD162">
        <v>0</v>
      </c>
      <c r="GF162">
        <v>1316533822</v>
      </c>
      <c r="GG162">
        <v>2</v>
      </c>
      <c r="GH162">
        <v>1</v>
      </c>
      <c r="GI162">
        <v>2</v>
      </c>
      <c r="GJ162">
        <v>0</v>
      </c>
      <c r="GK162">
        <f>ROUND(R162*(R12)/100,2)</f>
        <v>0</v>
      </c>
      <c r="GL162">
        <f t="shared" si="141"/>
        <v>0</v>
      </c>
      <c r="GM162">
        <f t="shared" si="142"/>
        <v>6046.72</v>
      </c>
      <c r="GN162">
        <f t="shared" si="143"/>
        <v>6046.72</v>
      </c>
      <c r="GO162">
        <f t="shared" si="144"/>
        <v>0</v>
      </c>
      <c r="GP162">
        <f t="shared" si="145"/>
        <v>0</v>
      </c>
      <c r="GT162">
        <v>0</v>
      </c>
      <c r="GU162">
        <v>1</v>
      </c>
      <c r="GV162">
        <v>0</v>
      </c>
      <c r="GW162">
        <v>0</v>
      </c>
      <c r="GX162">
        <f t="shared" si="146"/>
        <v>0</v>
      </c>
    </row>
    <row r="163" spans="1:206" ht="12.75">
      <c r="A163">
        <v>17</v>
      </c>
      <c r="B163">
        <v>1</v>
      </c>
      <c r="C163">
        <f>ROW(SmtRes!A63)</f>
        <v>63</v>
      </c>
      <c r="D163">
        <f>ROW(EtalonRes!A60)</f>
        <v>60</v>
      </c>
      <c r="E163" t="s">
        <v>252</v>
      </c>
      <c r="F163" t="s">
        <v>253</v>
      </c>
      <c r="G163" t="s">
        <v>254</v>
      </c>
      <c r="H163" t="s">
        <v>225</v>
      </c>
      <c r="I163">
        <f>ROUND(23.98/100,9)</f>
        <v>0.2398</v>
      </c>
      <c r="J163">
        <v>0</v>
      </c>
      <c r="O163">
        <f t="shared" si="109"/>
        <v>1395.61</v>
      </c>
      <c r="P163">
        <f t="shared" si="110"/>
        <v>124.25</v>
      </c>
      <c r="Q163">
        <f t="shared" si="111"/>
        <v>1004.15</v>
      </c>
      <c r="R163">
        <f t="shared" si="112"/>
        <v>390.39</v>
      </c>
      <c r="S163">
        <f t="shared" si="113"/>
        <v>267.21</v>
      </c>
      <c r="T163">
        <f t="shared" si="114"/>
        <v>0</v>
      </c>
      <c r="U163">
        <f t="shared" si="115"/>
        <v>1.077092874</v>
      </c>
      <c r="V163">
        <f t="shared" si="116"/>
        <v>0</v>
      </c>
      <c r="W163">
        <f t="shared" si="117"/>
        <v>0</v>
      </c>
      <c r="X163">
        <f t="shared" si="118"/>
        <v>350.05</v>
      </c>
      <c r="Y163">
        <f t="shared" si="119"/>
        <v>144.29</v>
      </c>
      <c r="AA163">
        <v>34388368</v>
      </c>
      <c r="AB163">
        <f t="shared" si="120"/>
        <v>529.23</v>
      </c>
      <c r="AC163">
        <f t="shared" si="121"/>
        <v>57.83</v>
      </c>
      <c r="AD163">
        <f t="shared" si="122"/>
        <v>419.23</v>
      </c>
      <c r="AE163">
        <f t="shared" si="123"/>
        <v>76.22</v>
      </c>
      <c r="AF163">
        <f t="shared" si="124"/>
        <v>52.17</v>
      </c>
      <c r="AG163">
        <f t="shared" si="125"/>
        <v>0</v>
      </c>
      <c r="AH163">
        <f t="shared" si="126"/>
        <v>4.29</v>
      </c>
      <c r="AI163">
        <f t="shared" si="127"/>
        <v>0</v>
      </c>
      <c r="AJ163">
        <f t="shared" si="128"/>
        <v>0</v>
      </c>
      <c r="AK163">
        <v>529.23</v>
      </c>
      <c r="AL163">
        <v>57.83</v>
      </c>
      <c r="AM163">
        <v>419.23</v>
      </c>
      <c r="AN163">
        <v>76.22</v>
      </c>
      <c r="AO163">
        <v>52.17</v>
      </c>
      <c r="AP163">
        <v>0</v>
      </c>
      <c r="AQ163">
        <v>4.29</v>
      </c>
      <c r="AR163">
        <v>0</v>
      </c>
      <c r="AS163">
        <v>0</v>
      </c>
      <c r="AT163">
        <v>131</v>
      </c>
      <c r="AU163">
        <v>54</v>
      </c>
      <c r="AV163">
        <v>1.047</v>
      </c>
      <c r="AW163">
        <v>1</v>
      </c>
      <c r="AZ163">
        <v>1</v>
      </c>
      <c r="BA163">
        <v>20.4</v>
      </c>
      <c r="BB163">
        <v>9.54</v>
      </c>
      <c r="BC163">
        <v>8.96</v>
      </c>
      <c r="BH163">
        <v>0</v>
      </c>
      <c r="BI163">
        <v>1</v>
      </c>
      <c r="BJ163" t="s">
        <v>255</v>
      </c>
      <c r="BM163">
        <v>158</v>
      </c>
      <c r="BN163">
        <v>0</v>
      </c>
      <c r="BO163" t="s">
        <v>253</v>
      </c>
      <c r="BP163">
        <v>1</v>
      </c>
      <c r="BQ163">
        <v>30</v>
      </c>
      <c r="BR163">
        <v>0</v>
      </c>
      <c r="BS163">
        <v>20.4</v>
      </c>
      <c r="BT163">
        <v>1</v>
      </c>
      <c r="BU163">
        <v>1</v>
      </c>
      <c r="BV163">
        <v>1</v>
      </c>
      <c r="BW163">
        <v>1</v>
      </c>
      <c r="BX163">
        <v>1</v>
      </c>
      <c r="BZ163">
        <v>131</v>
      </c>
      <c r="CA163">
        <v>54</v>
      </c>
      <c r="CF163">
        <v>0</v>
      </c>
      <c r="CG163">
        <v>0</v>
      </c>
      <c r="CM163">
        <v>0</v>
      </c>
      <c r="CO163">
        <v>0</v>
      </c>
      <c r="CP163">
        <f t="shared" si="129"/>
        <v>1395.6100000000001</v>
      </c>
      <c r="CQ163">
        <f t="shared" si="130"/>
        <v>518.1568000000001</v>
      </c>
      <c r="CR163">
        <f t="shared" si="131"/>
        <v>4187.428547399999</v>
      </c>
      <c r="CS163">
        <f t="shared" si="132"/>
        <v>1627.9677359999998</v>
      </c>
      <c r="CT163">
        <f t="shared" si="133"/>
        <v>1114.2885959999999</v>
      </c>
      <c r="CU163">
        <f t="shared" si="134"/>
        <v>0</v>
      </c>
      <c r="CV163">
        <f t="shared" si="135"/>
        <v>4.49163</v>
      </c>
      <c r="CW163">
        <f t="shared" si="136"/>
        <v>0</v>
      </c>
      <c r="CX163">
        <f t="shared" si="137"/>
        <v>0</v>
      </c>
      <c r="CY163">
        <f t="shared" si="138"/>
        <v>350.0451</v>
      </c>
      <c r="CZ163">
        <f t="shared" si="139"/>
        <v>144.2934</v>
      </c>
      <c r="DN163">
        <v>161</v>
      </c>
      <c r="DO163">
        <v>107</v>
      </c>
      <c r="DP163">
        <v>1.047</v>
      </c>
      <c r="DQ163">
        <v>1</v>
      </c>
      <c r="DU163">
        <v>1005</v>
      </c>
      <c r="DV163" t="s">
        <v>225</v>
      </c>
      <c r="DW163" t="s">
        <v>225</v>
      </c>
      <c r="DX163">
        <v>100</v>
      </c>
      <c r="EE163">
        <v>34317573</v>
      </c>
      <c r="EF163">
        <v>30</v>
      </c>
      <c r="EG163" t="s">
        <v>28</v>
      </c>
      <c r="EH163">
        <v>0</v>
      </c>
      <c r="EJ163">
        <v>1</v>
      </c>
      <c r="EK163">
        <v>158</v>
      </c>
      <c r="EL163" t="s">
        <v>256</v>
      </c>
      <c r="EM163" t="s">
        <v>257</v>
      </c>
      <c r="EQ163">
        <v>0</v>
      </c>
      <c r="ER163">
        <v>529.23</v>
      </c>
      <c r="ES163">
        <v>57.83</v>
      </c>
      <c r="ET163">
        <v>419.23</v>
      </c>
      <c r="EU163">
        <v>76.22</v>
      </c>
      <c r="EV163">
        <v>52.17</v>
      </c>
      <c r="EW163">
        <v>4.29</v>
      </c>
      <c r="EX163">
        <v>0</v>
      </c>
      <c r="EY163">
        <v>0</v>
      </c>
      <c r="FQ163">
        <v>0</v>
      </c>
      <c r="FR163">
        <f t="shared" si="140"/>
        <v>0</v>
      </c>
      <c r="FS163">
        <v>0</v>
      </c>
      <c r="FX163">
        <v>161</v>
      </c>
      <c r="FY163">
        <v>107</v>
      </c>
      <c r="GD163">
        <v>0</v>
      </c>
      <c r="GF163">
        <v>-740089871</v>
      </c>
      <c r="GG163">
        <v>2</v>
      </c>
      <c r="GH163">
        <v>1</v>
      </c>
      <c r="GI163">
        <v>2</v>
      </c>
      <c r="GJ163">
        <v>0</v>
      </c>
      <c r="GK163">
        <f>ROUND(R163*(R12)/100,2)</f>
        <v>651.95</v>
      </c>
      <c r="GL163">
        <f t="shared" si="141"/>
        <v>0</v>
      </c>
      <c r="GM163">
        <f t="shared" si="142"/>
        <v>2541.8999999999996</v>
      </c>
      <c r="GN163">
        <f t="shared" si="143"/>
        <v>2541.9</v>
      </c>
      <c r="GO163">
        <f t="shared" si="144"/>
        <v>0</v>
      </c>
      <c r="GP163">
        <f t="shared" si="145"/>
        <v>0</v>
      </c>
      <c r="GT163">
        <v>0</v>
      </c>
      <c r="GU163">
        <v>1</v>
      </c>
      <c r="GV163">
        <v>0</v>
      </c>
      <c r="GW163">
        <v>0</v>
      </c>
      <c r="GX163">
        <f t="shared" si="146"/>
        <v>0</v>
      </c>
    </row>
    <row r="164" spans="1:206" ht="12.75">
      <c r="A164">
        <v>17</v>
      </c>
      <c r="B164">
        <v>1</v>
      </c>
      <c r="C164">
        <f>ROW(SmtRes!A66)</f>
        <v>66</v>
      </c>
      <c r="D164">
        <f>ROW(EtalonRes!A64)</f>
        <v>64</v>
      </c>
      <c r="E164" t="s">
        <v>258</v>
      </c>
      <c r="F164" t="s">
        <v>259</v>
      </c>
      <c r="G164" t="s">
        <v>260</v>
      </c>
      <c r="H164" t="s">
        <v>225</v>
      </c>
      <c r="I164">
        <f>ROUND(95.92/100,9)</f>
        <v>0.9592</v>
      </c>
      <c r="J164">
        <v>0</v>
      </c>
      <c r="O164">
        <f t="shared" si="109"/>
        <v>290.96</v>
      </c>
      <c r="P164">
        <f t="shared" si="110"/>
        <v>0</v>
      </c>
      <c r="Q164">
        <f t="shared" si="111"/>
        <v>148.98</v>
      </c>
      <c r="R164">
        <f t="shared" si="112"/>
        <v>73.14</v>
      </c>
      <c r="S164">
        <f t="shared" si="113"/>
        <v>141.98</v>
      </c>
      <c r="T164">
        <f t="shared" si="114"/>
        <v>0</v>
      </c>
      <c r="U164">
        <f t="shared" si="115"/>
        <v>0.5322696720000001</v>
      </c>
      <c r="V164">
        <f t="shared" si="116"/>
        <v>0</v>
      </c>
      <c r="W164">
        <f t="shared" si="117"/>
        <v>0</v>
      </c>
      <c r="X164">
        <f t="shared" si="118"/>
        <v>185.99</v>
      </c>
      <c r="Y164">
        <f t="shared" si="119"/>
        <v>76.67</v>
      </c>
      <c r="AA164">
        <v>34388368</v>
      </c>
      <c r="AB164">
        <f t="shared" si="120"/>
        <v>24.28</v>
      </c>
      <c r="AC164">
        <f t="shared" si="121"/>
        <v>0</v>
      </c>
      <c r="AD164">
        <f t="shared" si="122"/>
        <v>17.35</v>
      </c>
      <c r="AE164">
        <f t="shared" si="123"/>
        <v>3.57</v>
      </c>
      <c r="AF164">
        <f t="shared" si="124"/>
        <v>6.93</v>
      </c>
      <c r="AG164">
        <f t="shared" si="125"/>
        <v>0</v>
      </c>
      <c r="AH164">
        <f t="shared" si="126"/>
        <v>0.53</v>
      </c>
      <c r="AI164">
        <f t="shared" si="127"/>
        <v>0</v>
      </c>
      <c r="AJ164">
        <f t="shared" si="128"/>
        <v>0</v>
      </c>
      <c r="AK164">
        <v>24.28</v>
      </c>
      <c r="AL164">
        <v>0</v>
      </c>
      <c r="AM164">
        <v>17.35</v>
      </c>
      <c r="AN164">
        <v>3.57</v>
      </c>
      <c r="AO164">
        <v>6.93</v>
      </c>
      <c r="AP164">
        <v>0</v>
      </c>
      <c r="AQ164">
        <v>0.53</v>
      </c>
      <c r="AR164">
        <v>0</v>
      </c>
      <c r="AS164">
        <v>0</v>
      </c>
      <c r="AT164">
        <v>131</v>
      </c>
      <c r="AU164">
        <v>54</v>
      </c>
      <c r="AV164">
        <v>1.047</v>
      </c>
      <c r="AW164">
        <v>1</v>
      </c>
      <c r="AZ164">
        <v>1</v>
      </c>
      <c r="BA164">
        <v>20.4</v>
      </c>
      <c r="BB164">
        <v>8.55</v>
      </c>
      <c r="BC164">
        <v>1</v>
      </c>
      <c r="BH164">
        <v>0</v>
      </c>
      <c r="BI164">
        <v>1</v>
      </c>
      <c r="BJ164" t="s">
        <v>261</v>
      </c>
      <c r="BM164">
        <v>158</v>
      </c>
      <c r="BN164">
        <v>0</v>
      </c>
      <c r="BO164" t="s">
        <v>259</v>
      </c>
      <c r="BP164">
        <v>1</v>
      </c>
      <c r="BQ164">
        <v>30</v>
      </c>
      <c r="BR164">
        <v>0</v>
      </c>
      <c r="BS164">
        <v>20.4</v>
      </c>
      <c r="BT164">
        <v>1</v>
      </c>
      <c r="BU164">
        <v>1</v>
      </c>
      <c r="BV164">
        <v>1</v>
      </c>
      <c r="BW164">
        <v>1</v>
      </c>
      <c r="BX164">
        <v>1</v>
      </c>
      <c r="BZ164">
        <v>131</v>
      </c>
      <c r="CA164">
        <v>54</v>
      </c>
      <c r="CF164">
        <v>0</v>
      </c>
      <c r="CG164">
        <v>0</v>
      </c>
      <c r="CM164">
        <v>0</v>
      </c>
      <c r="CO164">
        <v>0</v>
      </c>
      <c r="CP164">
        <f t="shared" si="129"/>
        <v>290.96</v>
      </c>
      <c r="CQ164">
        <f t="shared" si="130"/>
        <v>0</v>
      </c>
      <c r="CR164">
        <f t="shared" si="131"/>
        <v>155.31459750000002</v>
      </c>
      <c r="CS164">
        <f t="shared" si="132"/>
        <v>76.25091599999999</v>
      </c>
      <c r="CT164">
        <f t="shared" si="133"/>
        <v>148.01648399999996</v>
      </c>
      <c r="CU164">
        <f t="shared" si="134"/>
        <v>0</v>
      </c>
      <c r="CV164">
        <f t="shared" si="135"/>
        <v>0.55491</v>
      </c>
      <c r="CW164">
        <f t="shared" si="136"/>
        <v>0</v>
      </c>
      <c r="CX164">
        <f t="shared" si="137"/>
        <v>0</v>
      </c>
      <c r="CY164">
        <f t="shared" si="138"/>
        <v>185.9938</v>
      </c>
      <c r="CZ164">
        <f t="shared" si="139"/>
        <v>76.6692</v>
      </c>
      <c r="DN164">
        <v>161</v>
      </c>
      <c r="DO164">
        <v>107</v>
      </c>
      <c r="DP164">
        <v>1.047</v>
      </c>
      <c r="DQ164">
        <v>1</v>
      </c>
      <c r="DU164">
        <v>1005</v>
      </c>
      <c r="DV164" t="s">
        <v>225</v>
      </c>
      <c r="DW164" t="s">
        <v>225</v>
      </c>
      <c r="DX164">
        <v>100</v>
      </c>
      <c r="EE164">
        <v>34317573</v>
      </c>
      <c r="EF164">
        <v>30</v>
      </c>
      <c r="EG164" t="s">
        <v>28</v>
      </c>
      <c r="EH164">
        <v>0</v>
      </c>
      <c r="EJ164">
        <v>1</v>
      </c>
      <c r="EK164">
        <v>158</v>
      </c>
      <c r="EL164" t="s">
        <v>256</v>
      </c>
      <c r="EM164" t="s">
        <v>257</v>
      </c>
      <c r="EQ164">
        <v>0</v>
      </c>
      <c r="ER164">
        <v>24.28</v>
      </c>
      <c r="ES164">
        <v>0</v>
      </c>
      <c r="ET164">
        <v>17.35</v>
      </c>
      <c r="EU164">
        <v>3.57</v>
      </c>
      <c r="EV164">
        <v>6.93</v>
      </c>
      <c r="EW164">
        <v>0.53</v>
      </c>
      <c r="EX164">
        <v>0</v>
      </c>
      <c r="EY164">
        <v>0</v>
      </c>
      <c r="FQ164">
        <v>0</v>
      </c>
      <c r="FR164">
        <f t="shared" si="140"/>
        <v>0</v>
      </c>
      <c r="FS164">
        <v>0</v>
      </c>
      <c r="FX164">
        <v>161</v>
      </c>
      <c r="FY164">
        <v>107</v>
      </c>
      <c r="GD164">
        <v>0</v>
      </c>
      <c r="GF164">
        <v>758468508</v>
      </c>
      <c r="GG164">
        <v>2</v>
      </c>
      <c r="GH164">
        <v>1</v>
      </c>
      <c r="GI164">
        <v>2</v>
      </c>
      <c r="GJ164">
        <v>0</v>
      </c>
      <c r="GK164">
        <f>ROUND(R164*(R12)/100,2)</f>
        <v>122.14</v>
      </c>
      <c r="GL164">
        <f t="shared" si="141"/>
        <v>0</v>
      </c>
      <c r="GM164">
        <f t="shared" si="142"/>
        <v>675.76</v>
      </c>
      <c r="GN164">
        <f t="shared" si="143"/>
        <v>675.76</v>
      </c>
      <c r="GO164">
        <f t="shared" si="144"/>
        <v>0</v>
      </c>
      <c r="GP164">
        <f t="shared" si="145"/>
        <v>0</v>
      </c>
      <c r="GT164">
        <v>0</v>
      </c>
      <c r="GU164">
        <v>1</v>
      </c>
      <c r="GV164">
        <v>0</v>
      </c>
      <c r="GW164">
        <v>0</v>
      </c>
      <c r="GX164">
        <f t="shared" si="146"/>
        <v>0</v>
      </c>
    </row>
    <row r="165" spans="1:206" ht="12.75">
      <c r="A165">
        <v>17</v>
      </c>
      <c r="B165">
        <v>1</v>
      </c>
      <c r="E165" t="s">
        <v>262</v>
      </c>
      <c r="F165" t="s">
        <v>263</v>
      </c>
      <c r="G165" t="s">
        <v>264</v>
      </c>
      <c r="H165" t="s">
        <v>265</v>
      </c>
      <c r="I165">
        <v>4.79</v>
      </c>
      <c r="J165">
        <v>0</v>
      </c>
      <c r="O165">
        <f t="shared" si="109"/>
        <v>12364.38</v>
      </c>
      <c r="P165">
        <f t="shared" si="110"/>
        <v>12364.38</v>
      </c>
      <c r="Q165">
        <f t="shared" si="111"/>
        <v>0</v>
      </c>
      <c r="R165">
        <f t="shared" si="112"/>
        <v>0</v>
      </c>
      <c r="S165">
        <f t="shared" si="113"/>
        <v>0</v>
      </c>
      <c r="T165">
        <f t="shared" si="114"/>
        <v>0</v>
      </c>
      <c r="U165">
        <f t="shared" si="115"/>
        <v>0</v>
      </c>
      <c r="V165">
        <f t="shared" si="116"/>
        <v>0</v>
      </c>
      <c r="W165">
        <f t="shared" si="117"/>
        <v>0</v>
      </c>
      <c r="X165">
        <f t="shared" si="118"/>
        <v>0</v>
      </c>
      <c r="Y165">
        <f t="shared" si="119"/>
        <v>0</v>
      </c>
      <c r="AA165">
        <v>34388368</v>
      </c>
      <c r="AB165">
        <f t="shared" si="120"/>
        <v>296.7</v>
      </c>
      <c r="AC165">
        <f t="shared" si="121"/>
        <v>296.7</v>
      </c>
      <c r="AD165">
        <f t="shared" si="122"/>
        <v>0</v>
      </c>
      <c r="AE165">
        <f t="shared" si="123"/>
        <v>0</v>
      </c>
      <c r="AF165">
        <f t="shared" si="124"/>
        <v>0</v>
      </c>
      <c r="AG165">
        <f t="shared" si="125"/>
        <v>0</v>
      </c>
      <c r="AH165">
        <f t="shared" si="126"/>
        <v>0</v>
      </c>
      <c r="AI165">
        <f t="shared" si="127"/>
        <v>0</v>
      </c>
      <c r="AJ165">
        <f t="shared" si="128"/>
        <v>0</v>
      </c>
      <c r="AK165">
        <v>296.7</v>
      </c>
      <c r="AL165">
        <v>296.7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  <c r="AS165">
        <v>0</v>
      </c>
      <c r="AT165">
        <v>0</v>
      </c>
      <c r="AU165">
        <v>0</v>
      </c>
      <c r="AV165">
        <v>1</v>
      </c>
      <c r="AW165">
        <v>1</v>
      </c>
      <c r="AZ165">
        <v>1</v>
      </c>
      <c r="BA165">
        <v>1</v>
      </c>
      <c r="BB165">
        <v>1</v>
      </c>
      <c r="BC165">
        <v>8.7</v>
      </c>
      <c r="BH165">
        <v>3</v>
      </c>
      <c r="BI165">
        <v>1</v>
      </c>
      <c r="BJ165" t="s">
        <v>266</v>
      </c>
      <c r="BM165">
        <v>1617</v>
      </c>
      <c r="BN165">
        <v>0</v>
      </c>
      <c r="BO165" t="s">
        <v>263</v>
      </c>
      <c r="BP165">
        <v>1</v>
      </c>
      <c r="BQ165">
        <v>200</v>
      </c>
      <c r="BR165">
        <v>0</v>
      </c>
      <c r="BS165">
        <v>1</v>
      </c>
      <c r="BT165">
        <v>1</v>
      </c>
      <c r="BU165">
        <v>1</v>
      </c>
      <c r="BV165">
        <v>1</v>
      </c>
      <c r="BW165">
        <v>1</v>
      </c>
      <c r="BX165">
        <v>1</v>
      </c>
      <c r="BZ165">
        <v>0</v>
      </c>
      <c r="CA165">
        <v>0</v>
      </c>
      <c r="CF165">
        <v>0</v>
      </c>
      <c r="CG165">
        <v>0</v>
      </c>
      <c r="CM165">
        <v>0</v>
      </c>
      <c r="CO165">
        <v>0</v>
      </c>
      <c r="CP165">
        <f t="shared" si="129"/>
        <v>12364.38</v>
      </c>
      <c r="CQ165">
        <f t="shared" si="130"/>
        <v>2581.2899999999995</v>
      </c>
      <c r="CR165">
        <f t="shared" si="131"/>
        <v>0</v>
      </c>
      <c r="CS165">
        <f t="shared" si="132"/>
        <v>0</v>
      </c>
      <c r="CT165">
        <f t="shared" si="133"/>
        <v>0</v>
      </c>
      <c r="CU165">
        <f t="shared" si="134"/>
        <v>0</v>
      </c>
      <c r="CV165">
        <f t="shared" si="135"/>
        <v>0</v>
      </c>
      <c r="CW165">
        <f t="shared" si="136"/>
        <v>0</v>
      </c>
      <c r="CX165">
        <f t="shared" si="137"/>
        <v>0</v>
      </c>
      <c r="CY165">
        <f t="shared" si="138"/>
        <v>0</v>
      </c>
      <c r="CZ165">
        <f t="shared" si="139"/>
        <v>0</v>
      </c>
      <c r="DN165">
        <v>0</v>
      </c>
      <c r="DO165">
        <v>0</v>
      </c>
      <c r="DP165">
        <v>1</v>
      </c>
      <c r="DQ165">
        <v>1</v>
      </c>
      <c r="DU165">
        <v>1009</v>
      </c>
      <c r="DV165" t="s">
        <v>265</v>
      </c>
      <c r="DW165" t="s">
        <v>265</v>
      </c>
      <c r="DX165">
        <v>1000</v>
      </c>
      <c r="EE165">
        <v>34319032</v>
      </c>
      <c r="EF165">
        <v>200</v>
      </c>
      <c r="EG165" t="s">
        <v>267</v>
      </c>
      <c r="EH165">
        <v>0</v>
      </c>
      <c r="EJ165">
        <v>1</v>
      </c>
      <c r="EK165">
        <v>1617</v>
      </c>
      <c r="EL165" t="s">
        <v>268</v>
      </c>
      <c r="EM165" t="s">
        <v>269</v>
      </c>
      <c r="EQ165">
        <v>0</v>
      </c>
      <c r="ER165">
        <v>296.7</v>
      </c>
      <c r="ES165">
        <v>296.7</v>
      </c>
      <c r="ET165">
        <v>0</v>
      </c>
      <c r="EU165">
        <v>0</v>
      </c>
      <c r="EV165">
        <v>0</v>
      </c>
      <c r="EW165">
        <v>0</v>
      </c>
      <c r="EX165">
        <v>0</v>
      </c>
      <c r="EY165">
        <v>0</v>
      </c>
      <c r="FQ165">
        <v>0</v>
      </c>
      <c r="FR165">
        <f t="shared" si="140"/>
        <v>0</v>
      </c>
      <c r="FS165">
        <v>0</v>
      </c>
      <c r="FX165">
        <v>0</v>
      </c>
      <c r="FY165">
        <v>0</v>
      </c>
      <c r="GD165">
        <v>0</v>
      </c>
      <c r="GF165">
        <v>447298222</v>
      </c>
      <c r="GG165">
        <v>2</v>
      </c>
      <c r="GH165">
        <v>1</v>
      </c>
      <c r="GI165">
        <v>2</v>
      </c>
      <c r="GJ165">
        <v>0</v>
      </c>
      <c r="GK165">
        <f>ROUND(R165*(R12)/100,2)</f>
        <v>0</v>
      </c>
      <c r="GL165">
        <f t="shared" si="141"/>
        <v>0</v>
      </c>
      <c r="GM165">
        <f t="shared" si="142"/>
        <v>12364.38</v>
      </c>
      <c r="GN165">
        <f t="shared" si="143"/>
        <v>12364.38</v>
      </c>
      <c r="GO165">
        <f t="shared" si="144"/>
        <v>0</v>
      </c>
      <c r="GP165">
        <f t="shared" si="145"/>
        <v>0</v>
      </c>
      <c r="GT165">
        <v>0</v>
      </c>
      <c r="GU165">
        <v>1</v>
      </c>
      <c r="GV165">
        <v>0</v>
      </c>
      <c r="GW165">
        <v>0</v>
      </c>
      <c r="GX165">
        <f t="shared" si="146"/>
        <v>0</v>
      </c>
    </row>
    <row r="166" spans="1:206" ht="12.75">
      <c r="A166">
        <v>17</v>
      </c>
      <c r="B166">
        <v>1</v>
      </c>
      <c r="C166">
        <f>ROW(SmtRes!A76)</f>
        <v>76</v>
      </c>
      <c r="D166">
        <f>ROW(EtalonRes!A75)</f>
        <v>75</v>
      </c>
      <c r="E166" t="s">
        <v>270</v>
      </c>
      <c r="F166" t="s">
        <v>253</v>
      </c>
      <c r="G166" t="s">
        <v>254</v>
      </c>
      <c r="H166" t="s">
        <v>225</v>
      </c>
      <c r="I166">
        <f>ROUND(39/100,9)</f>
        <v>0.39</v>
      </c>
      <c r="J166">
        <v>0</v>
      </c>
      <c r="O166">
        <f t="shared" si="109"/>
        <v>2269.75</v>
      </c>
      <c r="P166">
        <f t="shared" si="110"/>
        <v>202.08</v>
      </c>
      <c r="Q166">
        <f t="shared" si="111"/>
        <v>1633.1</v>
      </c>
      <c r="R166">
        <f t="shared" si="112"/>
        <v>634.91</v>
      </c>
      <c r="S166">
        <f t="shared" si="113"/>
        <v>434.57</v>
      </c>
      <c r="T166">
        <f t="shared" si="114"/>
        <v>0</v>
      </c>
      <c r="U166">
        <f t="shared" si="115"/>
        <v>1.7517357</v>
      </c>
      <c r="V166">
        <f t="shared" si="116"/>
        <v>0</v>
      </c>
      <c r="W166">
        <f t="shared" si="117"/>
        <v>0</v>
      </c>
      <c r="X166">
        <f t="shared" si="118"/>
        <v>569.29</v>
      </c>
      <c r="Y166">
        <f t="shared" si="119"/>
        <v>234.67</v>
      </c>
      <c r="AA166">
        <v>34388368</v>
      </c>
      <c r="AB166">
        <f t="shared" si="120"/>
        <v>529.23</v>
      </c>
      <c r="AC166">
        <f t="shared" si="121"/>
        <v>57.83</v>
      </c>
      <c r="AD166">
        <f t="shared" si="122"/>
        <v>419.23</v>
      </c>
      <c r="AE166">
        <f t="shared" si="123"/>
        <v>76.22</v>
      </c>
      <c r="AF166">
        <f t="shared" si="124"/>
        <v>52.17</v>
      </c>
      <c r="AG166">
        <f t="shared" si="125"/>
        <v>0</v>
      </c>
      <c r="AH166">
        <f t="shared" si="126"/>
        <v>4.29</v>
      </c>
      <c r="AI166">
        <f t="shared" si="127"/>
        <v>0</v>
      </c>
      <c r="AJ166">
        <f t="shared" si="128"/>
        <v>0</v>
      </c>
      <c r="AK166">
        <v>529.23</v>
      </c>
      <c r="AL166">
        <v>57.83</v>
      </c>
      <c r="AM166">
        <v>419.23</v>
      </c>
      <c r="AN166">
        <v>76.22</v>
      </c>
      <c r="AO166">
        <v>52.17</v>
      </c>
      <c r="AP166">
        <v>0</v>
      </c>
      <c r="AQ166">
        <v>4.29</v>
      </c>
      <c r="AR166">
        <v>0</v>
      </c>
      <c r="AS166">
        <v>0</v>
      </c>
      <c r="AT166">
        <v>131</v>
      </c>
      <c r="AU166">
        <v>54</v>
      </c>
      <c r="AV166">
        <v>1.047</v>
      </c>
      <c r="AW166">
        <v>1</v>
      </c>
      <c r="AZ166">
        <v>1</v>
      </c>
      <c r="BA166">
        <v>20.4</v>
      </c>
      <c r="BB166">
        <v>9.54</v>
      </c>
      <c r="BC166">
        <v>8.96</v>
      </c>
      <c r="BH166">
        <v>0</v>
      </c>
      <c r="BI166">
        <v>1</v>
      </c>
      <c r="BJ166" t="s">
        <v>255</v>
      </c>
      <c r="BM166">
        <v>158</v>
      </c>
      <c r="BN166">
        <v>0</v>
      </c>
      <c r="BO166" t="s">
        <v>253</v>
      </c>
      <c r="BP166">
        <v>1</v>
      </c>
      <c r="BQ166">
        <v>30</v>
      </c>
      <c r="BR166">
        <v>0</v>
      </c>
      <c r="BS166">
        <v>20.4</v>
      </c>
      <c r="BT166">
        <v>1</v>
      </c>
      <c r="BU166">
        <v>1</v>
      </c>
      <c r="BV166">
        <v>1</v>
      </c>
      <c r="BW166">
        <v>1</v>
      </c>
      <c r="BX166">
        <v>1</v>
      </c>
      <c r="BZ166">
        <v>131</v>
      </c>
      <c r="CA166">
        <v>54</v>
      </c>
      <c r="CF166">
        <v>0</v>
      </c>
      <c r="CG166">
        <v>0</v>
      </c>
      <c r="CM166">
        <v>0</v>
      </c>
      <c r="CO166">
        <v>0</v>
      </c>
      <c r="CP166">
        <f t="shared" si="129"/>
        <v>2269.75</v>
      </c>
      <c r="CQ166">
        <f t="shared" si="130"/>
        <v>518.1568000000001</v>
      </c>
      <c r="CR166">
        <f t="shared" si="131"/>
        <v>4187.428547399999</v>
      </c>
      <c r="CS166">
        <f t="shared" si="132"/>
        <v>1627.9677359999998</v>
      </c>
      <c r="CT166">
        <f t="shared" si="133"/>
        <v>1114.2885959999999</v>
      </c>
      <c r="CU166">
        <f t="shared" si="134"/>
        <v>0</v>
      </c>
      <c r="CV166">
        <f t="shared" si="135"/>
        <v>4.49163</v>
      </c>
      <c r="CW166">
        <f t="shared" si="136"/>
        <v>0</v>
      </c>
      <c r="CX166">
        <f t="shared" si="137"/>
        <v>0</v>
      </c>
      <c r="CY166">
        <f t="shared" si="138"/>
        <v>569.2867</v>
      </c>
      <c r="CZ166">
        <f t="shared" si="139"/>
        <v>234.6678</v>
      </c>
      <c r="DN166">
        <v>161</v>
      </c>
      <c r="DO166">
        <v>107</v>
      </c>
      <c r="DP166">
        <v>1.047</v>
      </c>
      <c r="DQ166">
        <v>1</v>
      </c>
      <c r="DU166">
        <v>1005</v>
      </c>
      <c r="DV166" t="s">
        <v>225</v>
      </c>
      <c r="DW166" t="s">
        <v>225</v>
      </c>
      <c r="DX166">
        <v>100</v>
      </c>
      <c r="EE166">
        <v>34317573</v>
      </c>
      <c r="EF166">
        <v>30</v>
      </c>
      <c r="EG166" t="s">
        <v>28</v>
      </c>
      <c r="EH166">
        <v>0</v>
      </c>
      <c r="EJ166">
        <v>1</v>
      </c>
      <c r="EK166">
        <v>158</v>
      </c>
      <c r="EL166" t="s">
        <v>256</v>
      </c>
      <c r="EM166" t="s">
        <v>257</v>
      </c>
      <c r="EQ166">
        <v>0</v>
      </c>
      <c r="ER166">
        <v>529.23</v>
      </c>
      <c r="ES166">
        <v>57.83</v>
      </c>
      <c r="ET166">
        <v>419.23</v>
      </c>
      <c r="EU166">
        <v>76.22</v>
      </c>
      <c r="EV166">
        <v>52.17</v>
      </c>
      <c r="EW166">
        <v>4.29</v>
      </c>
      <c r="EX166">
        <v>0</v>
      </c>
      <c r="EY166">
        <v>0</v>
      </c>
      <c r="FQ166">
        <v>0</v>
      </c>
      <c r="FR166">
        <f t="shared" si="140"/>
        <v>0</v>
      </c>
      <c r="FS166">
        <v>0</v>
      </c>
      <c r="FX166">
        <v>161</v>
      </c>
      <c r="FY166">
        <v>107</v>
      </c>
      <c r="GD166">
        <v>0</v>
      </c>
      <c r="GF166">
        <v>-740089871</v>
      </c>
      <c r="GG166">
        <v>2</v>
      </c>
      <c r="GH166">
        <v>1</v>
      </c>
      <c r="GI166">
        <v>2</v>
      </c>
      <c r="GJ166">
        <v>0</v>
      </c>
      <c r="GK166">
        <f>ROUND(R166*(R12)/100,2)</f>
        <v>1060.3</v>
      </c>
      <c r="GL166">
        <f t="shared" si="141"/>
        <v>0</v>
      </c>
      <c r="GM166">
        <f t="shared" si="142"/>
        <v>4134.01</v>
      </c>
      <c r="GN166">
        <f t="shared" si="143"/>
        <v>4134.01</v>
      </c>
      <c r="GO166">
        <f t="shared" si="144"/>
        <v>0</v>
      </c>
      <c r="GP166">
        <f t="shared" si="145"/>
        <v>0</v>
      </c>
      <c r="GT166">
        <v>0</v>
      </c>
      <c r="GU166">
        <v>1</v>
      </c>
      <c r="GV166">
        <v>0</v>
      </c>
      <c r="GW166">
        <v>0</v>
      </c>
      <c r="GX166">
        <f t="shared" si="146"/>
        <v>0</v>
      </c>
    </row>
    <row r="167" spans="1:206" ht="12.75">
      <c r="A167">
        <v>17</v>
      </c>
      <c r="B167">
        <v>1</v>
      </c>
      <c r="E167" t="s">
        <v>271</v>
      </c>
      <c r="F167" t="s">
        <v>272</v>
      </c>
      <c r="G167" t="s">
        <v>273</v>
      </c>
      <c r="H167" t="s">
        <v>265</v>
      </c>
      <c r="I167">
        <v>3.9</v>
      </c>
      <c r="J167">
        <v>0</v>
      </c>
      <c r="O167">
        <f t="shared" si="109"/>
        <v>10232.6</v>
      </c>
      <c r="P167">
        <f t="shared" si="110"/>
        <v>10232.6</v>
      </c>
      <c r="Q167">
        <f t="shared" si="111"/>
        <v>0</v>
      </c>
      <c r="R167">
        <f t="shared" si="112"/>
        <v>0</v>
      </c>
      <c r="S167">
        <f t="shared" si="113"/>
        <v>0</v>
      </c>
      <c r="T167">
        <f t="shared" si="114"/>
        <v>0</v>
      </c>
      <c r="U167">
        <f t="shared" si="115"/>
        <v>0</v>
      </c>
      <c r="V167">
        <f t="shared" si="116"/>
        <v>0</v>
      </c>
      <c r="W167">
        <f t="shared" si="117"/>
        <v>0</v>
      </c>
      <c r="X167">
        <f t="shared" si="118"/>
        <v>0</v>
      </c>
      <c r="Y167">
        <f t="shared" si="119"/>
        <v>0</v>
      </c>
      <c r="AA167">
        <v>34388368</v>
      </c>
      <c r="AB167">
        <f t="shared" si="120"/>
        <v>307.59</v>
      </c>
      <c r="AC167">
        <f t="shared" si="121"/>
        <v>307.59</v>
      </c>
      <c r="AD167">
        <f t="shared" si="122"/>
        <v>0</v>
      </c>
      <c r="AE167">
        <f t="shared" si="123"/>
        <v>0</v>
      </c>
      <c r="AF167">
        <f t="shared" si="124"/>
        <v>0</v>
      </c>
      <c r="AG167">
        <f t="shared" si="125"/>
        <v>0</v>
      </c>
      <c r="AH167">
        <f t="shared" si="126"/>
        <v>0</v>
      </c>
      <c r="AI167">
        <f t="shared" si="127"/>
        <v>0</v>
      </c>
      <c r="AJ167">
        <f t="shared" si="128"/>
        <v>0</v>
      </c>
      <c r="AK167">
        <v>307.59</v>
      </c>
      <c r="AL167">
        <v>307.59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1</v>
      </c>
      <c r="AW167">
        <v>1</v>
      </c>
      <c r="AZ167">
        <v>1</v>
      </c>
      <c r="BA167">
        <v>1</v>
      </c>
      <c r="BB167">
        <v>1</v>
      </c>
      <c r="BC167">
        <v>8.53</v>
      </c>
      <c r="BH167">
        <v>3</v>
      </c>
      <c r="BI167">
        <v>1</v>
      </c>
      <c r="BJ167" t="s">
        <v>274</v>
      </c>
      <c r="BM167">
        <v>158</v>
      </c>
      <c r="BN167">
        <v>0</v>
      </c>
      <c r="BO167" t="s">
        <v>272</v>
      </c>
      <c r="BP167">
        <v>1</v>
      </c>
      <c r="BQ167">
        <v>30</v>
      </c>
      <c r="BR167">
        <v>0</v>
      </c>
      <c r="BS167">
        <v>1</v>
      </c>
      <c r="BT167">
        <v>1</v>
      </c>
      <c r="BU167">
        <v>1</v>
      </c>
      <c r="BV167">
        <v>1</v>
      </c>
      <c r="BW167">
        <v>1</v>
      </c>
      <c r="BX167">
        <v>1</v>
      </c>
      <c r="BZ167">
        <v>0</v>
      </c>
      <c r="CA167">
        <v>0</v>
      </c>
      <c r="CF167">
        <v>0</v>
      </c>
      <c r="CG167">
        <v>0</v>
      </c>
      <c r="CM167">
        <v>0</v>
      </c>
      <c r="CO167">
        <v>0</v>
      </c>
      <c r="CP167">
        <f t="shared" si="129"/>
        <v>10232.6</v>
      </c>
      <c r="CQ167">
        <f t="shared" si="130"/>
        <v>2623.7427</v>
      </c>
      <c r="CR167">
        <f t="shared" si="131"/>
        <v>0</v>
      </c>
      <c r="CS167">
        <f t="shared" si="132"/>
        <v>0</v>
      </c>
      <c r="CT167">
        <f t="shared" si="133"/>
        <v>0</v>
      </c>
      <c r="CU167">
        <f t="shared" si="134"/>
        <v>0</v>
      </c>
      <c r="CV167">
        <f t="shared" si="135"/>
        <v>0</v>
      </c>
      <c r="CW167">
        <f t="shared" si="136"/>
        <v>0</v>
      </c>
      <c r="CX167">
        <f t="shared" si="137"/>
        <v>0</v>
      </c>
      <c r="CY167">
        <f t="shared" si="138"/>
        <v>0</v>
      </c>
      <c r="CZ167">
        <f t="shared" si="139"/>
        <v>0</v>
      </c>
      <c r="DN167">
        <v>161</v>
      </c>
      <c r="DO167">
        <v>107</v>
      </c>
      <c r="DP167">
        <v>1.047</v>
      </c>
      <c r="DQ167">
        <v>1</v>
      </c>
      <c r="DU167">
        <v>1009</v>
      </c>
      <c r="DV167" t="s">
        <v>265</v>
      </c>
      <c r="DW167" t="s">
        <v>265</v>
      </c>
      <c r="DX167">
        <v>1000</v>
      </c>
      <c r="EE167">
        <v>34317573</v>
      </c>
      <c r="EF167">
        <v>30</v>
      </c>
      <c r="EG167" t="s">
        <v>28</v>
      </c>
      <c r="EH167">
        <v>0</v>
      </c>
      <c r="EJ167">
        <v>1</v>
      </c>
      <c r="EK167">
        <v>158</v>
      </c>
      <c r="EL167" t="s">
        <v>256</v>
      </c>
      <c r="EM167" t="s">
        <v>257</v>
      </c>
      <c r="EQ167">
        <v>0</v>
      </c>
      <c r="ER167">
        <v>307.59</v>
      </c>
      <c r="ES167">
        <v>307.59</v>
      </c>
      <c r="ET167">
        <v>0</v>
      </c>
      <c r="EU167">
        <v>0</v>
      </c>
      <c r="EV167">
        <v>0</v>
      </c>
      <c r="EW167">
        <v>0</v>
      </c>
      <c r="EX167">
        <v>0</v>
      </c>
      <c r="EY167">
        <v>0</v>
      </c>
      <c r="FQ167">
        <v>0</v>
      </c>
      <c r="FR167">
        <f t="shared" si="140"/>
        <v>0</v>
      </c>
      <c r="FS167">
        <v>0</v>
      </c>
      <c r="FX167">
        <v>161</v>
      </c>
      <c r="FY167">
        <v>107</v>
      </c>
      <c r="GD167">
        <v>0</v>
      </c>
      <c r="GF167">
        <v>-1944262901</v>
      </c>
      <c r="GG167">
        <v>2</v>
      </c>
      <c r="GH167">
        <v>1</v>
      </c>
      <c r="GI167">
        <v>2</v>
      </c>
      <c r="GJ167">
        <v>0</v>
      </c>
      <c r="GK167">
        <f>ROUND(R167*(R12)/100,2)</f>
        <v>0</v>
      </c>
      <c r="GL167">
        <f t="shared" si="141"/>
        <v>0</v>
      </c>
      <c r="GM167">
        <f t="shared" si="142"/>
        <v>10232.6</v>
      </c>
      <c r="GN167">
        <f t="shared" si="143"/>
        <v>10232.6</v>
      </c>
      <c r="GO167">
        <f t="shared" si="144"/>
        <v>0</v>
      </c>
      <c r="GP167">
        <f t="shared" si="145"/>
        <v>0</v>
      </c>
      <c r="GT167">
        <v>0</v>
      </c>
      <c r="GU167">
        <v>1</v>
      </c>
      <c r="GV167">
        <v>0</v>
      </c>
      <c r="GW167">
        <v>0</v>
      </c>
      <c r="GX167">
        <f t="shared" si="146"/>
        <v>0</v>
      </c>
    </row>
    <row r="169" spans="1:118" ht="12.75">
      <c r="A169" s="2">
        <v>51</v>
      </c>
      <c r="B169" s="2">
        <f>B150</f>
        <v>1</v>
      </c>
      <c r="C169" s="2">
        <f>A150</f>
        <v>5</v>
      </c>
      <c r="D169" s="2">
        <f>ROW(A150)</f>
        <v>150</v>
      </c>
      <c r="E169" s="2"/>
      <c r="F169" s="2" t="str">
        <f>IF(F150&lt;&gt;"",F150,"")</f>
        <v>Новый подраздел</v>
      </c>
      <c r="G169" s="2" t="str">
        <f>IF(G150&lt;&gt;"",G150,"")</f>
        <v>Восстановление благоустройства</v>
      </c>
      <c r="H169" s="2"/>
      <c r="I169" s="2"/>
      <c r="J169" s="2"/>
      <c r="K169" s="2"/>
      <c r="L169" s="2"/>
      <c r="M169" s="2"/>
      <c r="N169" s="2"/>
      <c r="O169" s="2">
        <f aca="true" t="shared" si="147" ref="O169:T169">ROUND(AB169,2)</f>
        <v>74247.04</v>
      </c>
      <c r="P169" s="2">
        <f t="shared" si="147"/>
        <v>36612.33</v>
      </c>
      <c r="Q169" s="2">
        <f t="shared" si="147"/>
        <v>13235.66</v>
      </c>
      <c r="R169" s="2">
        <f t="shared" si="147"/>
        <v>7498.31</v>
      </c>
      <c r="S169" s="2">
        <f t="shared" si="147"/>
        <v>24399.05</v>
      </c>
      <c r="T169" s="2">
        <f t="shared" si="147"/>
        <v>0</v>
      </c>
      <c r="U169" s="2">
        <f>AH169</f>
        <v>106.81352654999999</v>
      </c>
      <c r="V169" s="2">
        <f>AI169</f>
        <v>0</v>
      </c>
      <c r="W169" s="2">
        <f>ROUND(AJ169,2)</f>
        <v>0</v>
      </c>
      <c r="X169" s="2">
        <f>ROUND(AK169,2)</f>
        <v>17515.92</v>
      </c>
      <c r="Y169" s="2">
        <f>ROUND(AL169,2)</f>
        <v>10194.39</v>
      </c>
      <c r="Z169" s="2"/>
      <c r="AA169" s="2"/>
      <c r="AB169" s="2">
        <f>ROUND(SUMIF(AA154:AA167,"=34388368",O154:O167),2)</f>
        <v>74247.04</v>
      </c>
      <c r="AC169" s="2">
        <f>ROUND(SUMIF(AA154:AA167,"=34388368",P154:P167),2)</f>
        <v>36612.33</v>
      </c>
      <c r="AD169" s="2">
        <f>ROUND(SUMIF(AA154:AA167,"=34388368",Q154:Q167),2)</f>
        <v>13235.66</v>
      </c>
      <c r="AE169" s="2">
        <f>ROUND(SUMIF(AA154:AA167,"=34388368",R154:R167),2)</f>
        <v>7498.31</v>
      </c>
      <c r="AF169" s="2">
        <f>ROUND(SUMIF(AA154:AA167,"=34388368",S154:S167),2)</f>
        <v>24399.05</v>
      </c>
      <c r="AG169" s="2">
        <f>ROUND(SUMIF(AA154:AA167,"=34388368",T154:T167),2)</f>
        <v>0</v>
      </c>
      <c r="AH169" s="2">
        <f>SUMIF(AA154:AA167,"=34388368",U154:U167)</f>
        <v>106.81352654999999</v>
      </c>
      <c r="AI169" s="2">
        <f>SUMIF(AA154:AA167,"=34388368",V154:V167)</f>
        <v>0</v>
      </c>
      <c r="AJ169" s="2">
        <f>ROUND(SUMIF(AA154:AA167,"=34388368",W154:W167),2)</f>
        <v>0</v>
      </c>
      <c r="AK169" s="2">
        <f>ROUND(SUMIF(AA154:AA167,"=34388368",X154:X167),2)</f>
        <v>17515.92</v>
      </c>
      <c r="AL169" s="2">
        <f>ROUND(SUMIF(AA154:AA167,"=34388368",Y154:Y167),2)</f>
        <v>10194.39</v>
      </c>
      <c r="AM169" s="2"/>
      <c r="AN169" s="2"/>
      <c r="AO169" s="2">
        <f aca="true" t="shared" si="148" ref="AO169:AZ169">ROUND(BB169,2)</f>
        <v>0</v>
      </c>
      <c r="AP169" s="2">
        <f t="shared" si="148"/>
        <v>0</v>
      </c>
      <c r="AQ169" s="2">
        <f t="shared" si="148"/>
        <v>0</v>
      </c>
      <c r="AR169" s="2">
        <f t="shared" si="148"/>
        <v>114479.52</v>
      </c>
      <c r="AS169" s="2">
        <f t="shared" si="148"/>
        <v>114479.52</v>
      </c>
      <c r="AT169" s="2">
        <f t="shared" si="148"/>
        <v>0</v>
      </c>
      <c r="AU169" s="2">
        <f t="shared" si="148"/>
        <v>0</v>
      </c>
      <c r="AV169" s="2">
        <f t="shared" si="148"/>
        <v>36612.33</v>
      </c>
      <c r="AW169" s="2">
        <f t="shared" si="148"/>
        <v>36612.33</v>
      </c>
      <c r="AX169" s="2">
        <f t="shared" si="148"/>
        <v>0</v>
      </c>
      <c r="AY169" s="2">
        <f t="shared" si="148"/>
        <v>36612.33</v>
      </c>
      <c r="AZ169" s="2">
        <f t="shared" si="148"/>
        <v>0</v>
      </c>
      <c r="BA169" s="2"/>
      <c r="BB169" s="2">
        <f>ROUND(SUMIF(AA154:AA167,"=34388368",FQ154:FQ167),2)</f>
        <v>0</v>
      </c>
      <c r="BC169" s="2">
        <f>ROUND(SUMIF(AA154:AA167,"=34388368",FR154:FR167),2)</f>
        <v>0</v>
      </c>
      <c r="BD169" s="2">
        <f>ROUND(SUMIF(AA154:AA167,"=34388368",GL154:GL167),2)</f>
        <v>0</v>
      </c>
      <c r="BE169" s="2">
        <f>ROUND(SUMIF(AA154:AA167,"=34388368",GM154:GM167),2)</f>
        <v>114479.52</v>
      </c>
      <c r="BF169" s="2">
        <f>ROUND(SUMIF(AA154:AA167,"=34388368",GN154:GN167),2)</f>
        <v>114479.52</v>
      </c>
      <c r="BG169" s="2">
        <f>ROUND(SUMIF(AA154:AA167,"=34388368",GO154:GO167),2)</f>
        <v>0</v>
      </c>
      <c r="BH169" s="2">
        <f>ROUND(SUMIF(AA154:AA167,"=34388368",GP154:GP167),2)</f>
        <v>0</v>
      </c>
      <c r="BI169" s="2">
        <f>AC169-BB169</f>
        <v>36612.33</v>
      </c>
      <c r="BJ169" s="2">
        <f>AC169-BC169</f>
        <v>36612.33</v>
      </c>
      <c r="BK169" s="2">
        <f>BB169-BD169</f>
        <v>0</v>
      </c>
      <c r="BL169" s="2">
        <f>AC169-BB169-BC169+BD169</f>
        <v>36612.33</v>
      </c>
      <c r="BM169" s="2">
        <f>BC169-BD169</f>
        <v>0</v>
      </c>
      <c r="BN169" s="2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>
        <v>0</v>
      </c>
    </row>
    <row r="171" spans="1:16" ht="12.75">
      <c r="A171" s="4">
        <v>50</v>
      </c>
      <c r="B171" s="4">
        <v>0</v>
      </c>
      <c r="C171" s="4">
        <v>0</v>
      </c>
      <c r="D171" s="4">
        <v>1</v>
      </c>
      <c r="E171" s="4">
        <v>201</v>
      </c>
      <c r="F171" s="4">
        <f>ROUND(Source!O169,O171)</f>
        <v>74247.04</v>
      </c>
      <c r="G171" s="4" t="s">
        <v>97</v>
      </c>
      <c r="H171" s="4" t="s">
        <v>98</v>
      </c>
      <c r="I171" s="4"/>
      <c r="J171" s="4"/>
      <c r="K171" s="4">
        <v>201</v>
      </c>
      <c r="L171" s="4">
        <v>1</v>
      </c>
      <c r="M171" s="4">
        <v>3</v>
      </c>
      <c r="N171" s="4" t="s">
        <v>6</v>
      </c>
      <c r="O171" s="4">
        <v>2</v>
      </c>
      <c r="P171" s="4"/>
    </row>
    <row r="172" spans="1:16" ht="12.75">
      <c r="A172" s="4">
        <v>50</v>
      </c>
      <c r="B172" s="4">
        <v>0</v>
      </c>
      <c r="C172" s="4">
        <v>0</v>
      </c>
      <c r="D172" s="4">
        <v>1</v>
      </c>
      <c r="E172" s="4">
        <v>202</v>
      </c>
      <c r="F172" s="4">
        <f>ROUND(Source!P169,O172)</f>
        <v>36612.33</v>
      </c>
      <c r="G172" s="4" t="s">
        <v>99</v>
      </c>
      <c r="H172" s="4" t="s">
        <v>100</v>
      </c>
      <c r="I172" s="4"/>
      <c r="J172" s="4"/>
      <c r="K172" s="4">
        <v>202</v>
      </c>
      <c r="L172" s="4">
        <v>2</v>
      </c>
      <c r="M172" s="4">
        <v>3</v>
      </c>
      <c r="N172" s="4" t="s">
        <v>6</v>
      </c>
      <c r="O172" s="4">
        <v>2</v>
      </c>
      <c r="P172" s="4"/>
    </row>
    <row r="173" spans="1:16" ht="12.75">
      <c r="A173" s="4">
        <v>50</v>
      </c>
      <c r="B173" s="4">
        <v>0</v>
      </c>
      <c r="C173" s="4">
        <v>0</v>
      </c>
      <c r="D173" s="4">
        <v>1</v>
      </c>
      <c r="E173" s="4">
        <v>222</v>
      </c>
      <c r="F173" s="4">
        <f>ROUND(Source!AO169,O173)</f>
        <v>0</v>
      </c>
      <c r="G173" s="4" t="s">
        <v>101</v>
      </c>
      <c r="H173" s="4" t="s">
        <v>102</v>
      </c>
      <c r="I173" s="4"/>
      <c r="J173" s="4"/>
      <c r="K173" s="4">
        <v>222</v>
      </c>
      <c r="L173" s="4">
        <v>3</v>
      </c>
      <c r="M173" s="4">
        <v>3</v>
      </c>
      <c r="N173" s="4" t="s">
        <v>6</v>
      </c>
      <c r="O173" s="4">
        <v>2</v>
      </c>
      <c r="P173" s="4"/>
    </row>
    <row r="174" spans="1:16" ht="12.75">
      <c r="A174" s="4">
        <v>50</v>
      </c>
      <c r="B174" s="4">
        <v>0</v>
      </c>
      <c r="C174" s="4">
        <v>0</v>
      </c>
      <c r="D174" s="4">
        <v>1</v>
      </c>
      <c r="E174" s="4">
        <v>225</v>
      </c>
      <c r="F174" s="4">
        <f>ROUND(Source!AV169,O174)</f>
        <v>36612.33</v>
      </c>
      <c r="G174" s="4" t="s">
        <v>103</v>
      </c>
      <c r="H174" s="4" t="s">
        <v>104</v>
      </c>
      <c r="I174" s="4"/>
      <c r="J174" s="4"/>
      <c r="K174" s="4">
        <v>225</v>
      </c>
      <c r="L174" s="4">
        <v>4</v>
      </c>
      <c r="M174" s="4">
        <v>3</v>
      </c>
      <c r="N174" s="4" t="s">
        <v>6</v>
      </c>
      <c r="O174" s="4">
        <v>2</v>
      </c>
      <c r="P174" s="4"/>
    </row>
    <row r="175" spans="1:16" ht="12.75">
      <c r="A175" s="4">
        <v>50</v>
      </c>
      <c r="B175" s="4">
        <v>0</v>
      </c>
      <c r="C175" s="4">
        <v>0</v>
      </c>
      <c r="D175" s="4">
        <v>1</v>
      </c>
      <c r="E175" s="4">
        <v>226</v>
      </c>
      <c r="F175" s="4">
        <f>ROUND(Source!AW169,O175)</f>
        <v>36612.33</v>
      </c>
      <c r="G175" s="4" t="s">
        <v>105</v>
      </c>
      <c r="H175" s="4" t="s">
        <v>106</v>
      </c>
      <c r="I175" s="4"/>
      <c r="J175" s="4"/>
      <c r="K175" s="4">
        <v>226</v>
      </c>
      <c r="L175" s="4">
        <v>5</v>
      </c>
      <c r="M175" s="4">
        <v>3</v>
      </c>
      <c r="N175" s="4" t="s">
        <v>6</v>
      </c>
      <c r="O175" s="4">
        <v>2</v>
      </c>
      <c r="P175" s="4"/>
    </row>
    <row r="176" spans="1:16" ht="12.75">
      <c r="A176" s="4">
        <v>50</v>
      </c>
      <c r="B176" s="4">
        <v>0</v>
      </c>
      <c r="C176" s="4">
        <v>0</v>
      </c>
      <c r="D176" s="4">
        <v>1</v>
      </c>
      <c r="E176" s="4">
        <v>227</v>
      </c>
      <c r="F176" s="4">
        <f>ROUND(Source!AX169,O176)</f>
        <v>0</v>
      </c>
      <c r="G176" s="4" t="s">
        <v>107</v>
      </c>
      <c r="H176" s="4" t="s">
        <v>108</v>
      </c>
      <c r="I176" s="4"/>
      <c r="J176" s="4"/>
      <c r="K176" s="4">
        <v>227</v>
      </c>
      <c r="L176" s="4">
        <v>6</v>
      </c>
      <c r="M176" s="4">
        <v>3</v>
      </c>
      <c r="N176" s="4" t="s">
        <v>6</v>
      </c>
      <c r="O176" s="4">
        <v>2</v>
      </c>
      <c r="P176" s="4"/>
    </row>
    <row r="177" spans="1:16" ht="12.75">
      <c r="A177" s="4">
        <v>50</v>
      </c>
      <c r="B177" s="4">
        <v>0</v>
      </c>
      <c r="C177" s="4">
        <v>0</v>
      </c>
      <c r="D177" s="4">
        <v>1</v>
      </c>
      <c r="E177" s="4">
        <v>228</v>
      </c>
      <c r="F177" s="4">
        <f>ROUND(Source!AY169,O177)</f>
        <v>36612.33</v>
      </c>
      <c r="G177" s="4" t="s">
        <v>109</v>
      </c>
      <c r="H177" s="4" t="s">
        <v>110</v>
      </c>
      <c r="I177" s="4"/>
      <c r="J177" s="4"/>
      <c r="K177" s="4">
        <v>228</v>
      </c>
      <c r="L177" s="4">
        <v>7</v>
      </c>
      <c r="M177" s="4">
        <v>3</v>
      </c>
      <c r="N177" s="4" t="s">
        <v>6</v>
      </c>
      <c r="O177" s="4">
        <v>2</v>
      </c>
      <c r="P177" s="4"/>
    </row>
    <row r="178" spans="1:16" ht="12.75">
      <c r="A178" s="4">
        <v>50</v>
      </c>
      <c r="B178" s="4">
        <v>0</v>
      </c>
      <c r="C178" s="4">
        <v>0</v>
      </c>
      <c r="D178" s="4">
        <v>1</v>
      </c>
      <c r="E178" s="4">
        <v>216</v>
      </c>
      <c r="F178" s="4">
        <f>ROUND(Source!AP169,O178)</f>
        <v>0</v>
      </c>
      <c r="G178" s="4" t="s">
        <v>111</v>
      </c>
      <c r="H178" s="4" t="s">
        <v>112</v>
      </c>
      <c r="I178" s="4"/>
      <c r="J178" s="4"/>
      <c r="K178" s="4">
        <v>216</v>
      </c>
      <c r="L178" s="4">
        <v>8</v>
      </c>
      <c r="M178" s="4">
        <v>3</v>
      </c>
      <c r="N178" s="4" t="s">
        <v>6</v>
      </c>
      <c r="O178" s="4">
        <v>2</v>
      </c>
      <c r="P178" s="4"/>
    </row>
    <row r="179" spans="1:16" ht="12.75">
      <c r="A179" s="4">
        <v>50</v>
      </c>
      <c r="B179" s="4">
        <v>0</v>
      </c>
      <c r="C179" s="4">
        <v>0</v>
      </c>
      <c r="D179" s="4">
        <v>1</v>
      </c>
      <c r="E179" s="4">
        <v>223</v>
      </c>
      <c r="F179" s="4">
        <f>ROUND(Source!AQ169,O179)</f>
        <v>0</v>
      </c>
      <c r="G179" s="4" t="s">
        <v>113</v>
      </c>
      <c r="H179" s="4" t="s">
        <v>114</v>
      </c>
      <c r="I179" s="4"/>
      <c r="J179" s="4"/>
      <c r="K179" s="4">
        <v>223</v>
      </c>
      <c r="L179" s="4">
        <v>9</v>
      </c>
      <c r="M179" s="4">
        <v>3</v>
      </c>
      <c r="N179" s="4" t="s">
        <v>6</v>
      </c>
      <c r="O179" s="4">
        <v>2</v>
      </c>
      <c r="P179" s="4"/>
    </row>
    <row r="180" spans="1:16" ht="12.75">
      <c r="A180" s="4">
        <v>50</v>
      </c>
      <c r="B180" s="4">
        <v>0</v>
      </c>
      <c r="C180" s="4">
        <v>0</v>
      </c>
      <c r="D180" s="4">
        <v>1</v>
      </c>
      <c r="E180" s="4">
        <v>229</v>
      </c>
      <c r="F180" s="4">
        <f>ROUND(Source!AZ169,O180)</f>
        <v>0</v>
      </c>
      <c r="G180" s="4" t="s">
        <v>115</v>
      </c>
      <c r="H180" s="4" t="s">
        <v>116</v>
      </c>
      <c r="I180" s="4"/>
      <c r="J180" s="4"/>
      <c r="K180" s="4">
        <v>229</v>
      </c>
      <c r="L180" s="4">
        <v>10</v>
      </c>
      <c r="M180" s="4">
        <v>3</v>
      </c>
      <c r="N180" s="4" t="s">
        <v>6</v>
      </c>
      <c r="O180" s="4">
        <v>2</v>
      </c>
      <c r="P180" s="4"/>
    </row>
    <row r="181" spans="1:16" ht="12.75">
      <c r="A181" s="4">
        <v>50</v>
      </c>
      <c r="B181" s="4">
        <v>0</v>
      </c>
      <c r="C181" s="4">
        <v>0</v>
      </c>
      <c r="D181" s="4">
        <v>1</v>
      </c>
      <c r="E181" s="4">
        <v>203</v>
      </c>
      <c r="F181" s="4">
        <f>ROUND(Source!Q169,O181)</f>
        <v>13235.66</v>
      </c>
      <c r="G181" s="4" t="s">
        <v>117</v>
      </c>
      <c r="H181" s="4" t="s">
        <v>118</v>
      </c>
      <c r="I181" s="4"/>
      <c r="J181" s="4"/>
      <c r="K181" s="4">
        <v>203</v>
      </c>
      <c r="L181" s="4">
        <v>11</v>
      </c>
      <c r="M181" s="4">
        <v>3</v>
      </c>
      <c r="N181" s="4" t="s">
        <v>6</v>
      </c>
      <c r="O181" s="4">
        <v>2</v>
      </c>
      <c r="P181" s="4"/>
    </row>
    <row r="182" spans="1:16" ht="12.75">
      <c r="A182" s="4">
        <v>50</v>
      </c>
      <c r="B182" s="4">
        <v>0</v>
      </c>
      <c r="C182" s="4">
        <v>0</v>
      </c>
      <c r="D182" s="4">
        <v>1</v>
      </c>
      <c r="E182" s="4">
        <v>204</v>
      </c>
      <c r="F182" s="4">
        <f>ROUND(Source!R169,O182)</f>
        <v>7498.31</v>
      </c>
      <c r="G182" s="4" t="s">
        <v>119</v>
      </c>
      <c r="H182" s="4" t="s">
        <v>120</v>
      </c>
      <c r="I182" s="4"/>
      <c r="J182" s="4"/>
      <c r="K182" s="4">
        <v>204</v>
      </c>
      <c r="L182" s="4">
        <v>12</v>
      </c>
      <c r="M182" s="4">
        <v>3</v>
      </c>
      <c r="N182" s="4" t="s">
        <v>6</v>
      </c>
      <c r="O182" s="4">
        <v>2</v>
      </c>
      <c r="P182" s="4"/>
    </row>
    <row r="183" spans="1:16" ht="12.75">
      <c r="A183" s="4">
        <v>50</v>
      </c>
      <c r="B183" s="4">
        <v>0</v>
      </c>
      <c r="C183" s="4">
        <v>0</v>
      </c>
      <c r="D183" s="4">
        <v>1</v>
      </c>
      <c r="E183" s="4">
        <v>205</v>
      </c>
      <c r="F183" s="4">
        <f>ROUND(Source!S169,O183)</f>
        <v>24399.05</v>
      </c>
      <c r="G183" s="4" t="s">
        <v>121</v>
      </c>
      <c r="H183" s="4" t="s">
        <v>122</v>
      </c>
      <c r="I183" s="4"/>
      <c r="J183" s="4"/>
      <c r="K183" s="4">
        <v>205</v>
      </c>
      <c r="L183" s="4">
        <v>13</v>
      </c>
      <c r="M183" s="4">
        <v>3</v>
      </c>
      <c r="N183" s="4" t="s">
        <v>6</v>
      </c>
      <c r="O183" s="4">
        <v>2</v>
      </c>
      <c r="P183" s="4"/>
    </row>
    <row r="184" spans="1:16" ht="12.75">
      <c r="A184" s="4">
        <v>50</v>
      </c>
      <c r="B184" s="4">
        <v>0</v>
      </c>
      <c r="C184" s="4">
        <v>0</v>
      </c>
      <c r="D184" s="4">
        <v>1</v>
      </c>
      <c r="E184" s="4">
        <v>214</v>
      </c>
      <c r="F184" s="4">
        <f>ROUND(Source!AS169,O184)</f>
        <v>114479.52</v>
      </c>
      <c r="G184" s="4" t="s">
        <v>123</v>
      </c>
      <c r="H184" s="4" t="s">
        <v>124</v>
      </c>
      <c r="I184" s="4"/>
      <c r="J184" s="4"/>
      <c r="K184" s="4">
        <v>214</v>
      </c>
      <c r="L184" s="4">
        <v>14</v>
      </c>
      <c r="M184" s="4">
        <v>3</v>
      </c>
      <c r="N184" s="4" t="s">
        <v>6</v>
      </c>
      <c r="O184" s="4">
        <v>2</v>
      </c>
      <c r="P184" s="4"/>
    </row>
    <row r="185" spans="1:16" ht="12.75">
      <c r="A185" s="4">
        <v>50</v>
      </c>
      <c r="B185" s="4">
        <v>0</v>
      </c>
      <c r="C185" s="4">
        <v>0</v>
      </c>
      <c r="D185" s="4">
        <v>1</v>
      </c>
      <c r="E185" s="4">
        <v>215</v>
      </c>
      <c r="F185" s="4">
        <f>ROUND(Source!AT169,O185)</f>
        <v>0</v>
      </c>
      <c r="G185" s="4" t="s">
        <v>125</v>
      </c>
      <c r="H185" s="4" t="s">
        <v>126</v>
      </c>
      <c r="I185" s="4"/>
      <c r="J185" s="4"/>
      <c r="K185" s="4">
        <v>215</v>
      </c>
      <c r="L185" s="4">
        <v>15</v>
      </c>
      <c r="M185" s="4">
        <v>3</v>
      </c>
      <c r="N185" s="4" t="s">
        <v>6</v>
      </c>
      <c r="O185" s="4">
        <v>2</v>
      </c>
      <c r="P185" s="4"/>
    </row>
    <row r="186" spans="1:16" ht="12.75">
      <c r="A186" s="4">
        <v>50</v>
      </c>
      <c r="B186" s="4">
        <v>0</v>
      </c>
      <c r="C186" s="4">
        <v>0</v>
      </c>
      <c r="D186" s="4">
        <v>1</v>
      </c>
      <c r="E186" s="4">
        <v>217</v>
      </c>
      <c r="F186" s="4">
        <f>ROUND(Source!AU169,O186)</f>
        <v>0</v>
      </c>
      <c r="G186" s="4" t="s">
        <v>127</v>
      </c>
      <c r="H186" s="4" t="s">
        <v>128</v>
      </c>
      <c r="I186" s="4"/>
      <c r="J186" s="4"/>
      <c r="K186" s="4">
        <v>217</v>
      </c>
      <c r="L186" s="4">
        <v>16</v>
      </c>
      <c r="M186" s="4">
        <v>3</v>
      </c>
      <c r="N186" s="4" t="s">
        <v>6</v>
      </c>
      <c r="O186" s="4">
        <v>2</v>
      </c>
      <c r="P186" s="4"/>
    </row>
    <row r="187" spans="1:16" ht="12.75">
      <c r="A187" s="4">
        <v>50</v>
      </c>
      <c r="B187" s="4">
        <v>0</v>
      </c>
      <c r="C187" s="4">
        <v>0</v>
      </c>
      <c r="D187" s="4">
        <v>1</v>
      </c>
      <c r="E187" s="4">
        <v>206</v>
      </c>
      <c r="F187" s="4">
        <f>ROUND(Source!T169,O187)</f>
        <v>0</v>
      </c>
      <c r="G187" s="4" t="s">
        <v>129</v>
      </c>
      <c r="H187" s="4" t="s">
        <v>130</v>
      </c>
      <c r="I187" s="4"/>
      <c r="J187" s="4"/>
      <c r="K187" s="4">
        <v>206</v>
      </c>
      <c r="L187" s="4">
        <v>17</v>
      </c>
      <c r="M187" s="4">
        <v>3</v>
      </c>
      <c r="N187" s="4" t="s">
        <v>6</v>
      </c>
      <c r="O187" s="4">
        <v>2</v>
      </c>
      <c r="P187" s="4"/>
    </row>
    <row r="188" spans="1:16" ht="12.75">
      <c r="A188" s="4">
        <v>50</v>
      </c>
      <c r="B188" s="4">
        <v>0</v>
      </c>
      <c r="C188" s="4">
        <v>0</v>
      </c>
      <c r="D188" s="4">
        <v>1</v>
      </c>
      <c r="E188" s="4">
        <v>207</v>
      </c>
      <c r="F188" s="4">
        <f>Source!U169</f>
        <v>106.81352654999999</v>
      </c>
      <c r="G188" s="4" t="s">
        <v>131</v>
      </c>
      <c r="H188" s="4" t="s">
        <v>132</v>
      </c>
      <c r="I188" s="4"/>
      <c r="J188" s="4"/>
      <c r="K188" s="4">
        <v>207</v>
      </c>
      <c r="L188" s="4">
        <v>18</v>
      </c>
      <c r="M188" s="4">
        <v>3</v>
      </c>
      <c r="N188" s="4" t="s">
        <v>6</v>
      </c>
      <c r="O188" s="4">
        <v>-1</v>
      </c>
      <c r="P188" s="4"/>
    </row>
    <row r="189" spans="1:16" ht="12.75">
      <c r="A189" s="4">
        <v>50</v>
      </c>
      <c r="B189" s="4">
        <v>0</v>
      </c>
      <c r="C189" s="4">
        <v>0</v>
      </c>
      <c r="D189" s="4">
        <v>1</v>
      </c>
      <c r="E189" s="4">
        <v>208</v>
      </c>
      <c r="F189" s="4">
        <f>Source!V169</f>
        <v>0</v>
      </c>
      <c r="G189" s="4" t="s">
        <v>133</v>
      </c>
      <c r="H189" s="4" t="s">
        <v>134</v>
      </c>
      <c r="I189" s="4"/>
      <c r="J189" s="4"/>
      <c r="K189" s="4">
        <v>208</v>
      </c>
      <c r="L189" s="4">
        <v>19</v>
      </c>
      <c r="M189" s="4">
        <v>3</v>
      </c>
      <c r="N189" s="4" t="s">
        <v>6</v>
      </c>
      <c r="O189" s="4">
        <v>-1</v>
      </c>
      <c r="P189" s="4"/>
    </row>
    <row r="190" spans="1:16" ht="12.75">
      <c r="A190" s="4">
        <v>50</v>
      </c>
      <c r="B190" s="4">
        <v>0</v>
      </c>
      <c r="C190" s="4">
        <v>0</v>
      </c>
      <c r="D190" s="4">
        <v>1</v>
      </c>
      <c r="E190" s="4">
        <v>209</v>
      </c>
      <c r="F190" s="4">
        <f>ROUND(Source!W169,O190)</f>
        <v>0</v>
      </c>
      <c r="G190" s="4" t="s">
        <v>135</v>
      </c>
      <c r="H190" s="4" t="s">
        <v>136</v>
      </c>
      <c r="I190" s="4"/>
      <c r="J190" s="4"/>
      <c r="K190" s="4">
        <v>209</v>
      </c>
      <c r="L190" s="4">
        <v>20</v>
      </c>
      <c r="M190" s="4">
        <v>3</v>
      </c>
      <c r="N190" s="4" t="s">
        <v>6</v>
      </c>
      <c r="O190" s="4">
        <v>2</v>
      </c>
      <c r="P190" s="4"/>
    </row>
    <row r="191" spans="1:16" ht="12.75">
      <c r="A191" s="4">
        <v>50</v>
      </c>
      <c r="B191" s="4">
        <v>0</v>
      </c>
      <c r="C191" s="4">
        <v>0</v>
      </c>
      <c r="D191" s="4">
        <v>1</v>
      </c>
      <c r="E191" s="4">
        <v>210</v>
      </c>
      <c r="F191" s="4">
        <f>ROUND(Source!X169,O191)</f>
        <v>17515.92</v>
      </c>
      <c r="G191" s="4" t="s">
        <v>137</v>
      </c>
      <c r="H191" s="4" t="s">
        <v>138</v>
      </c>
      <c r="I191" s="4"/>
      <c r="J191" s="4"/>
      <c r="K191" s="4">
        <v>210</v>
      </c>
      <c r="L191" s="4">
        <v>21</v>
      </c>
      <c r="M191" s="4">
        <v>3</v>
      </c>
      <c r="N191" s="4" t="s">
        <v>6</v>
      </c>
      <c r="O191" s="4">
        <v>2</v>
      </c>
      <c r="P191" s="4"/>
    </row>
    <row r="192" spans="1:16" ht="12.75">
      <c r="A192" s="4">
        <v>50</v>
      </c>
      <c r="B192" s="4">
        <v>0</v>
      </c>
      <c r="C192" s="4">
        <v>0</v>
      </c>
      <c r="D192" s="4">
        <v>1</v>
      </c>
      <c r="E192" s="4">
        <v>211</v>
      </c>
      <c r="F192" s="4">
        <f>ROUND(Source!Y169,O192)</f>
        <v>10194.39</v>
      </c>
      <c r="G192" s="4" t="s">
        <v>139</v>
      </c>
      <c r="H192" s="4" t="s">
        <v>140</v>
      </c>
      <c r="I192" s="4"/>
      <c r="J192" s="4"/>
      <c r="K192" s="4">
        <v>211</v>
      </c>
      <c r="L192" s="4">
        <v>22</v>
      </c>
      <c r="M192" s="4">
        <v>3</v>
      </c>
      <c r="N192" s="4" t="s">
        <v>6</v>
      </c>
      <c r="O192" s="4">
        <v>2</v>
      </c>
      <c r="P192" s="4"/>
    </row>
    <row r="193" spans="1:16" ht="12.75">
      <c r="A193" s="4">
        <v>50</v>
      </c>
      <c r="B193" s="4">
        <v>0</v>
      </c>
      <c r="C193" s="4">
        <v>0</v>
      </c>
      <c r="D193" s="4">
        <v>1</v>
      </c>
      <c r="E193" s="4">
        <v>224</v>
      </c>
      <c r="F193" s="4">
        <f>ROUND(Source!AR169,O193)</f>
        <v>114479.52</v>
      </c>
      <c r="G193" s="4" t="s">
        <v>141</v>
      </c>
      <c r="H193" s="4" t="s">
        <v>142</v>
      </c>
      <c r="I193" s="4"/>
      <c r="J193" s="4"/>
      <c r="K193" s="4">
        <v>224</v>
      </c>
      <c r="L193" s="4">
        <v>23</v>
      </c>
      <c r="M193" s="4">
        <v>3</v>
      </c>
      <c r="N193" s="4" t="s">
        <v>6</v>
      </c>
      <c r="O193" s="4">
        <v>2</v>
      </c>
      <c r="P193" s="4"/>
    </row>
    <row r="195" spans="1:88" ht="12.75">
      <c r="A195" s="1">
        <v>5</v>
      </c>
      <c r="B195" s="1">
        <v>1</v>
      </c>
      <c r="C195" s="1"/>
      <c r="D195" s="1">
        <f>ROW(A208)</f>
        <v>208</v>
      </c>
      <c r="E195" s="1"/>
      <c r="F195" s="1" t="s">
        <v>19</v>
      </c>
      <c r="G195" s="1" t="s">
        <v>275</v>
      </c>
      <c r="H195" s="1" t="s">
        <v>6</v>
      </c>
      <c r="I195" s="1">
        <v>0</v>
      </c>
      <c r="J195" s="1"/>
      <c r="K195" s="1">
        <v>0</v>
      </c>
      <c r="L195" s="1"/>
      <c r="M195" s="1"/>
      <c r="N195" s="1"/>
      <c r="O195" s="1"/>
      <c r="P195" s="1"/>
      <c r="Q195" s="1"/>
      <c r="R195" s="1"/>
      <c r="S195" s="1"/>
      <c r="T195" s="1"/>
      <c r="U195" s="1" t="s">
        <v>6</v>
      </c>
      <c r="V195" s="1">
        <v>0</v>
      </c>
      <c r="W195" s="1"/>
      <c r="X195" s="1"/>
      <c r="Y195" s="1"/>
      <c r="Z195" s="1"/>
      <c r="AA195" s="1"/>
      <c r="AB195" s="1" t="s">
        <v>6</v>
      </c>
      <c r="AC195" s="1" t="s">
        <v>6</v>
      </c>
      <c r="AD195" s="1" t="s">
        <v>6</v>
      </c>
      <c r="AE195" s="1" t="s">
        <v>6</v>
      </c>
      <c r="AF195" s="1" t="s">
        <v>6</v>
      </c>
      <c r="AG195" s="1" t="s">
        <v>6</v>
      </c>
      <c r="AH195" s="1"/>
      <c r="AI195" s="1"/>
      <c r="AJ195" s="1"/>
      <c r="AK195" s="1"/>
      <c r="AL195" s="1"/>
      <c r="AM195" s="1"/>
      <c r="AN195" s="1"/>
      <c r="AO195" s="1"/>
      <c r="AP195" s="1" t="s">
        <v>6</v>
      </c>
      <c r="AQ195" s="1" t="s">
        <v>6</v>
      </c>
      <c r="AR195" s="1" t="s">
        <v>6</v>
      </c>
      <c r="AS195" s="1"/>
      <c r="AT195" s="1"/>
      <c r="AU195" s="1"/>
      <c r="AV195" s="1"/>
      <c r="AW195" s="1"/>
      <c r="AX195" s="1"/>
      <c r="AY195" s="1"/>
      <c r="AZ195" s="1" t="s">
        <v>6</v>
      </c>
      <c r="BA195" s="1"/>
      <c r="BB195" s="1" t="s">
        <v>6</v>
      </c>
      <c r="BC195" s="1" t="s">
        <v>6</v>
      </c>
      <c r="BD195" s="1" t="s">
        <v>6</v>
      </c>
      <c r="BE195" s="1" t="s">
        <v>6</v>
      </c>
      <c r="BF195" s="1" t="s">
        <v>6</v>
      </c>
      <c r="BG195" s="1" t="s">
        <v>6</v>
      </c>
      <c r="BH195" s="1" t="s">
        <v>6</v>
      </c>
      <c r="BI195" s="1" t="s">
        <v>6</v>
      </c>
      <c r="BJ195" s="1" t="s">
        <v>6</v>
      </c>
      <c r="BK195" s="1" t="s">
        <v>6</v>
      </c>
      <c r="BL195" s="1" t="s">
        <v>6</v>
      </c>
      <c r="BM195" s="1" t="s">
        <v>6</v>
      </c>
      <c r="BN195" s="1" t="s">
        <v>6</v>
      </c>
      <c r="BO195" s="1" t="s">
        <v>6</v>
      </c>
      <c r="BP195" s="1" t="s">
        <v>6</v>
      </c>
      <c r="BQ195" s="1"/>
      <c r="BR195" s="1"/>
      <c r="BS195" s="1"/>
      <c r="BT195" s="1"/>
      <c r="BU195" s="1"/>
      <c r="BV195" s="1"/>
      <c r="BW195" s="1"/>
      <c r="BX195" s="1">
        <v>0</v>
      </c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>
        <v>0</v>
      </c>
    </row>
    <row r="197" spans="1:118" ht="12.75">
      <c r="A197" s="2">
        <v>52</v>
      </c>
      <c r="B197" s="2">
        <f aca="true" t="shared" si="149" ref="B197:G197">B208</f>
        <v>1</v>
      </c>
      <c r="C197" s="2">
        <f t="shared" si="149"/>
        <v>5</v>
      </c>
      <c r="D197" s="2">
        <f t="shared" si="149"/>
        <v>195</v>
      </c>
      <c r="E197" s="2">
        <f t="shared" si="149"/>
        <v>0</v>
      </c>
      <c r="F197" s="2" t="str">
        <f t="shared" si="149"/>
        <v>Новый подраздел</v>
      </c>
      <c r="G197" s="2" t="str">
        <f t="shared" si="149"/>
        <v>Восстановление а/б и ц/б покрытия в дороге</v>
      </c>
      <c r="H197" s="2"/>
      <c r="I197" s="2"/>
      <c r="J197" s="2"/>
      <c r="K197" s="2"/>
      <c r="L197" s="2"/>
      <c r="M197" s="2"/>
      <c r="N197" s="2"/>
      <c r="O197" s="2">
        <f aca="true" t="shared" si="150" ref="O197:AT197">O208</f>
        <v>51671.79</v>
      </c>
      <c r="P197" s="2">
        <f t="shared" si="150"/>
        <v>41682.58</v>
      </c>
      <c r="Q197" s="2">
        <f t="shared" si="150"/>
        <v>6427.99</v>
      </c>
      <c r="R197" s="2">
        <f t="shared" si="150"/>
        <v>2485.07</v>
      </c>
      <c r="S197" s="2">
        <f t="shared" si="150"/>
        <v>3561.22</v>
      </c>
      <c r="T197" s="2">
        <f t="shared" si="150"/>
        <v>0</v>
      </c>
      <c r="U197" s="2">
        <f t="shared" si="150"/>
        <v>15.091907163</v>
      </c>
      <c r="V197" s="2">
        <f t="shared" si="150"/>
        <v>0</v>
      </c>
      <c r="W197" s="2">
        <f t="shared" si="150"/>
        <v>0</v>
      </c>
      <c r="X197" s="2">
        <f t="shared" si="150"/>
        <v>4665.2</v>
      </c>
      <c r="Y197" s="2">
        <f t="shared" si="150"/>
        <v>1923.06</v>
      </c>
      <c r="Z197" s="2">
        <f t="shared" si="150"/>
        <v>0</v>
      </c>
      <c r="AA197" s="2">
        <f t="shared" si="150"/>
        <v>0</v>
      </c>
      <c r="AB197" s="2">
        <f t="shared" si="150"/>
        <v>51671.79</v>
      </c>
      <c r="AC197" s="2">
        <f t="shared" si="150"/>
        <v>41682.58</v>
      </c>
      <c r="AD197" s="2">
        <f t="shared" si="150"/>
        <v>6427.99</v>
      </c>
      <c r="AE197" s="2">
        <f t="shared" si="150"/>
        <v>2485.07</v>
      </c>
      <c r="AF197" s="2">
        <f t="shared" si="150"/>
        <v>3561.22</v>
      </c>
      <c r="AG197" s="2">
        <f t="shared" si="150"/>
        <v>0</v>
      </c>
      <c r="AH197" s="2">
        <f t="shared" si="150"/>
        <v>15.091907163</v>
      </c>
      <c r="AI197" s="2">
        <f t="shared" si="150"/>
        <v>0</v>
      </c>
      <c r="AJ197" s="2">
        <f t="shared" si="150"/>
        <v>0</v>
      </c>
      <c r="AK197" s="2">
        <f t="shared" si="150"/>
        <v>4665.2</v>
      </c>
      <c r="AL197" s="2">
        <f t="shared" si="150"/>
        <v>1923.06</v>
      </c>
      <c r="AM197" s="2">
        <f t="shared" si="150"/>
        <v>0</v>
      </c>
      <c r="AN197" s="2">
        <f t="shared" si="150"/>
        <v>0</v>
      </c>
      <c r="AO197" s="2">
        <f t="shared" si="150"/>
        <v>0</v>
      </c>
      <c r="AP197" s="2">
        <f t="shared" si="150"/>
        <v>0</v>
      </c>
      <c r="AQ197" s="2">
        <f t="shared" si="150"/>
        <v>0</v>
      </c>
      <c r="AR197" s="2">
        <f t="shared" si="150"/>
        <v>62410.12</v>
      </c>
      <c r="AS197" s="2">
        <f t="shared" si="150"/>
        <v>62410.12</v>
      </c>
      <c r="AT197" s="2">
        <f t="shared" si="150"/>
        <v>0</v>
      </c>
      <c r="AU197" s="2">
        <f aca="true" t="shared" si="151" ref="AU197:BZ197">AU208</f>
        <v>0</v>
      </c>
      <c r="AV197" s="2">
        <f t="shared" si="151"/>
        <v>41682.58</v>
      </c>
      <c r="AW197" s="2">
        <f t="shared" si="151"/>
        <v>41682.58</v>
      </c>
      <c r="AX197" s="2">
        <f t="shared" si="151"/>
        <v>0</v>
      </c>
      <c r="AY197" s="2">
        <f t="shared" si="151"/>
        <v>41682.58</v>
      </c>
      <c r="AZ197" s="2">
        <f t="shared" si="151"/>
        <v>0</v>
      </c>
      <c r="BA197" s="2">
        <f t="shared" si="151"/>
        <v>0</v>
      </c>
      <c r="BB197" s="2">
        <f t="shared" si="151"/>
        <v>0</v>
      </c>
      <c r="BC197" s="2">
        <f t="shared" si="151"/>
        <v>0</v>
      </c>
      <c r="BD197" s="2">
        <f t="shared" si="151"/>
        <v>0</v>
      </c>
      <c r="BE197" s="2">
        <f t="shared" si="151"/>
        <v>62410.12</v>
      </c>
      <c r="BF197" s="2">
        <f t="shared" si="151"/>
        <v>62410.12</v>
      </c>
      <c r="BG197" s="2">
        <f t="shared" si="151"/>
        <v>0</v>
      </c>
      <c r="BH197" s="2">
        <f t="shared" si="151"/>
        <v>0</v>
      </c>
      <c r="BI197" s="2">
        <f t="shared" si="151"/>
        <v>41682.58</v>
      </c>
      <c r="BJ197" s="2">
        <f t="shared" si="151"/>
        <v>41682.58</v>
      </c>
      <c r="BK197" s="2">
        <f t="shared" si="151"/>
        <v>0</v>
      </c>
      <c r="BL197" s="2">
        <f t="shared" si="151"/>
        <v>41682.58</v>
      </c>
      <c r="BM197" s="2">
        <f t="shared" si="151"/>
        <v>0</v>
      </c>
      <c r="BN197" s="2">
        <f t="shared" si="151"/>
        <v>0</v>
      </c>
      <c r="BO197" s="3">
        <f t="shared" si="151"/>
        <v>0</v>
      </c>
      <c r="BP197" s="3">
        <f t="shared" si="151"/>
        <v>0</v>
      </c>
      <c r="BQ197" s="3">
        <f t="shared" si="151"/>
        <v>0</v>
      </c>
      <c r="BR197" s="3">
        <f t="shared" si="151"/>
        <v>0</v>
      </c>
      <c r="BS197" s="3">
        <f t="shared" si="151"/>
        <v>0</v>
      </c>
      <c r="BT197" s="3">
        <f t="shared" si="151"/>
        <v>0</v>
      </c>
      <c r="BU197" s="3">
        <f t="shared" si="151"/>
        <v>0</v>
      </c>
      <c r="BV197" s="3">
        <f t="shared" si="151"/>
        <v>0</v>
      </c>
      <c r="BW197" s="3">
        <f t="shared" si="151"/>
        <v>0</v>
      </c>
      <c r="BX197" s="3">
        <f t="shared" si="151"/>
        <v>0</v>
      </c>
      <c r="BY197" s="3">
        <f t="shared" si="151"/>
        <v>0</v>
      </c>
      <c r="BZ197" s="3">
        <f t="shared" si="151"/>
        <v>0</v>
      </c>
      <c r="CA197" s="3">
        <f aca="true" t="shared" si="152" ref="CA197:DF197">CA208</f>
        <v>0</v>
      </c>
      <c r="CB197" s="3">
        <f t="shared" si="152"/>
        <v>0</v>
      </c>
      <c r="CC197" s="3">
        <f t="shared" si="152"/>
        <v>0</v>
      </c>
      <c r="CD197" s="3">
        <f t="shared" si="152"/>
        <v>0</v>
      </c>
      <c r="CE197" s="3">
        <f t="shared" si="152"/>
        <v>0</v>
      </c>
      <c r="CF197" s="3">
        <f t="shared" si="152"/>
        <v>0</v>
      </c>
      <c r="CG197" s="3">
        <f t="shared" si="152"/>
        <v>0</v>
      </c>
      <c r="CH197" s="3">
        <f t="shared" si="152"/>
        <v>0</v>
      </c>
      <c r="CI197" s="3">
        <f t="shared" si="152"/>
        <v>0</v>
      </c>
      <c r="CJ197" s="3">
        <f t="shared" si="152"/>
        <v>0</v>
      </c>
      <c r="CK197" s="3">
        <f t="shared" si="152"/>
        <v>0</v>
      </c>
      <c r="CL197" s="3">
        <f t="shared" si="152"/>
        <v>0</v>
      </c>
      <c r="CM197" s="3">
        <f t="shared" si="152"/>
        <v>0</v>
      </c>
      <c r="CN197" s="3">
        <f t="shared" si="152"/>
        <v>0</v>
      </c>
      <c r="CO197" s="3">
        <f t="shared" si="152"/>
        <v>0</v>
      </c>
      <c r="CP197" s="3">
        <f t="shared" si="152"/>
        <v>0</v>
      </c>
      <c r="CQ197" s="3">
        <f t="shared" si="152"/>
        <v>0</v>
      </c>
      <c r="CR197" s="3">
        <f t="shared" si="152"/>
        <v>0</v>
      </c>
      <c r="CS197" s="3">
        <f t="shared" si="152"/>
        <v>0</v>
      </c>
      <c r="CT197" s="3">
        <f t="shared" si="152"/>
        <v>0</v>
      </c>
      <c r="CU197" s="3">
        <f t="shared" si="152"/>
        <v>0</v>
      </c>
      <c r="CV197" s="3">
        <f t="shared" si="152"/>
        <v>0</v>
      </c>
      <c r="CW197" s="3">
        <f t="shared" si="152"/>
        <v>0</v>
      </c>
      <c r="CX197" s="3">
        <f t="shared" si="152"/>
        <v>0</v>
      </c>
      <c r="CY197" s="3">
        <f t="shared" si="152"/>
        <v>0</v>
      </c>
      <c r="CZ197" s="3">
        <f t="shared" si="152"/>
        <v>0</v>
      </c>
      <c r="DA197" s="3">
        <f t="shared" si="152"/>
        <v>0</v>
      </c>
      <c r="DB197" s="3">
        <f t="shared" si="152"/>
        <v>0</v>
      </c>
      <c r="DC197" s="3">
        <f t="shared" si="152"/>
        <v>0</v>
      </c>
      <c r="DD197" s="3">
        <f t="shared" si="152"/>
        <v>0</v>
      </c>
      <c r="DE197" s="3">
        <f t="shared" si="152"/>
        <v>0</v>
      </c>
      <c r="DF197" s="3">
        <f t="shared" si="152"/>
        <v>0</v>
      </c>
      <c r="DG197" s="3">
        <f aca="true" t="shared" si="153" ref="DG197:DN197">DG208</f>
        <v>0</v>
      </c>
      <c r="DH197" s="3">
        <f t="shared" si="153"/>
        <v>0</v>
      </c>
      <c r="DI197" s="3">
        <f t="shared" si="153"/>
        <v>0</v>
      </c>
      <c r="DJ197" s="3">
        <f t="shared" si="153"/>
        <v>0</v>
      </c>
      <c r="DK197" s="3">
        <f t="shared" si="153"/>
        <v>0</v>
      </c>
      <c r="DL197" s="3">
        <f t="shared" si="153"/>
        <v>0</v>
      </c>
      <c r="DM197" s="3">
        <f t="shared" si="153"/>
        <v>0</v>
      </c>
      <c r="DN197" s="3">
        <f t="shared" si="153"/>
        <v>0</v>
      </c>
    </row>
    <row r="199" spans="1:206" ht="12.75">
      <c r="A199">
        <v>17</v>
      </c>
      <c r="B199">
        <v>1</v>
      </c>
      <c r="C199">
        <f>ROW(SmtRes!A84)</f>
        <v>84</v>
      </c>
      <c r="D199">
        <f>ROW(EtalonRes!A83)</f>
        <v>83</v>
      </c>
      <c r="E199" t="s">
        <v>276</v>
      </c>
      <c r="F199" t="s">
        <v>238</v>
      </c>
      <c r="G199" t="s">
        <v>239</v>
      </c>
      <c r="H199" t="s">
        <v>24</v>
      </c>
      <c r="I199">
        <f>ROUND(15.84/100,9)</f>
        <v>0.1584</v>
      </c>
      <c r="J199">
        <v>0</v>
      </c>
      <c r="O199">
        <f aca="true" t="shared" si="154" ref="O199:O206">ROUND(CP199+GX199,2)</f>
        <v>1543.78</v>
      </c>
      <c r="P199">
        <f aca="true" t="shared" si="155" ref="P199:P206">ROUND(CQ199*I199,2)</f>
        <v>23.79</v>
      </c>
      <c r="Q199">
        <f aca="true" t="shared" si="156" ref="Q199:Q206">ROUND(CR199*I199,2)</f>
        <v>1007.46</v>
      </c>
      <c r="R199">
        <f aca="true" t="shared" si="157" ref="R199:R206">ROUND(CS199*I199,2)</f>
        <v>402.77</v>
      </c>
      <c r="S199">
        <f aca="true" t="shared" si="158" ref="S199:S206">ROUND(CT199*I199,2)</f>
        <v>512.53</v>
      </c>
      <c r="T199">
        <f aca="true" t="shared" si="159" ref="T199:T206">ROUND(CU199*I199,2)</f>
        <v>0</v>
      </c>
      <c r="U199">
        <f aca="true" t="shared" si="160" ref="U199:U206">CV199*I199</f>
        <v>2.38816512</v>
      </c>
      <c r="V199">
        <f aca="true" t="shared" si="161" ref="V199:V206">CW199*I199</f>
        <v>0</v>
      </c>
      <c r="W199">
        <f aca="true" t="shared" si="162" ref="W199:W206">ROUND(CX199*I199,2)</f>
        <v>0</v>
      </c>
      <c r="X199">
        <f aca="true" t="shared" si="163" ref="X199:Y206">ROUND(CY199,2)</f>
        <v>671.41</v>
      </c>
      <c r="Y199">
        <f t="shared" si="163"/>
        <v>276.77</v>
      </c>
      <c r="AA199">
        <v>34388368</v>
      </c>
      <c r="AB199">
        <f aca="true" t="shared" si="164" ref="AB199:AB206">ROUND((AC199+AD199+AF199)+GT199,6)</f>
        <v>863.31</v>
      </c>
      <c r="AC199">
        <f aca="true" t="shared" si="165" ref="AC199:AC206">ROUND((ES199),6)</f>
        <v>35.35</v>
      </c>
      <c r="AD199">
        <f aca="true" t="shared" si="166" ref="AD199:AD206">ROUND((((ET199)-(EU199))+AE199),6)</f>
        <v>676.47</v>
      </c>
      <c r="AE199">
        <f aca="true" t="shared" si="167" ref="AE199:AF206">ROUND((EU199),6)</f>
        <v>119.05</v>
      </c>
      <c r="AF199">
        <f t="shared" si="167"/>
        <v>151.49</v>
      </c>
      <c r="AG199">
        <f aca="true" t="shared" si="168" ref="AG199:AG206">ROUND((AP199),6)</f>
        <v>0</v>
      </c>
      <c r="AH199">
        <f aca="true" t="shared" si="169" ref="AH199:AI206">(EW199)</f>
        <v>14.4</v>
      </c>
      <c r="AI199">
        <f t="shared" si="169"/>
        <v>0</v>
      </c>
      <c r="AJ199">
        <f aca="true" t="shared" si="170" ref="AJ199:AJ206">ROUND((AS199),6)</f>
        <v>0</v>
      </c>
      <c r="AK199">
        <v>863.31</v>
      </c>
      <c r="AL199">
        <v>35.35</v>
      </c>
      <c r="AM199">
        <v>676.47</v>
      </c>
      <c r="AN199">
        <v>119.05</v>
      </c>
      <c r="AO199">
        <v>151.49</v>
      </c>
      <c r="AP199">
        <v>0</v>
      </c>
      <c r="AQ199">
        <v>14.4</v>
      </c>
      <c r="AR199">
        <v>0</v>
      </c>
      <c r="AS199">
        <v>0</v>
      </c>
      <c r="AT199">
        <v>131</v>
      </c>
      <c r="AU199">
        <v>54</v>
      </c>
      <c r="AV199">
        <v>1.047</v>
      </c>
      <c r="AW199">
        <v>1.002</v>
      </c>
      <c r="AZ199">
        <v>1</v>
      </c>
      <c r="BA199">
        <v>20.4</v>
      </c>
      <c r="BB199">
        <v>8.98</v>
      </c>
      <c r="BC199">
        <v>4.24</v>
      </c>
      <c r="BH199">
        <v>0</v>
      </c>
      <c r="BI199">
        <v>1</v>
      </c>
      <c r="BJ199" t="s">
        <v>240</v>
      </c>
      <c r="BM199">
        <v>146</v>
      </c>
      <c r="BN199">
        <v>0</v>
      </c>
      <c r="BO199" t="s">
        <v>238</v>
      </c>
      <c r="BP199">
        <v>1</v>
      </c>
      <c r="BQ199">
        <v>30</v>
      </c>
      <c r="BR199">
        <v>0</v>
      </c>
      <c r="BS199">
        <v>20.4</v>
      </c>
      <c r="BT199">
        <v>1</v>
      </c>
      <c r="BU199">
        <v>1</v>
      </c>
      <c r="BV199">
        <v>1</v>
      </c>
      <c r="BW199">
        <v>1</v>
      </c>
      <c r="BX199">
        <v>1</v>
      </c>
      <c r="BZ199">
        <v>131</v>
      </c>
      <c r="CA199">
        <v>54</v>
      </c>
      <c r="CF199">
        <v>0</v>
      </c>
      <c r="CG199">
        <v>0</v>
      </c>
      <c r="CM199">
        <v>0</v>
      </c>
      <c r="CO199">
        <v>0</v>
      </c>
      <c r="CP199">
        <f aca="true" t="shared" si="171" ref="CP199:CP206">(P199+Q199+S199)</f>
        <v>1543.78</v>
      </c>
      <c r="CQ199">
        <f aca="true" t="shared" si="172" ref="CQ199:CQ206">(AC199*BC199*AW199)</f>
        <v>150.18376800000001</v>
      </c>
      <c r="CR199">
        <f aca="true" t="shared" si="173" ref="CR199:CR206">((((ET199)*BB199-(EU199)*BS199)+AE199*BS199)*AV199)</f>
        <v>6360.2115281999995</v>
      </c>
      <c r="CS199">
        <f aca="true" t="shared" si="174" ref="CS199:CS206">(AE199*BS199*AV199)</f>
        <v>2542.7651399999995</v>
      </c>
      <c r="CT199">
        <f aca="true" t="shared" si="175" ref="CT199:CT206">(AF199*BA199*AV199)</f>
        <v>3235.644612</v>
      </c>
      <c r="CU199">
        <f aca="true" t="shared" si="176" ref="CU199:CU206">AG199</f>
        <v>0</v>
      </c>
      <c r="CV199">
        <f aca="true" t="shared" si="177" ref="CV199:CV206">(AH199*AV199)</f>
        <v>15.076799999999999</v>
      </c>
      <c r="CW199">
        <f aca="true" t="shared" si="178" ref="CW199:CX206">AI199</f>
        <v>0</v>
      </c>
      <c r="CX199">
        <f t="shared" si="178"/>
        <v>0</v>
      </c>
      <c r="CY199">
        <f aca="true" t="shared" si="179" ref="CY199:CY206">S199*(BZ199/100)</f>
        <v>671.4143</v>
      </c>
      <c r="CZ199">
        <f aca="true" t="shared" si="180" ref="CZ199:CZ206">S199*(CA199/100)</f>
        <v>276.7662</v>
      </c>
      <c r="DN199">
        <v>161</v>
      </c>
      <c r="DO199">
        <v>107</v>
      </c>
      <c r="DP199">
        <v>1.047</v>
      </c>
      <c r="DQ199">
        <v>1.002</v>
      </c>
      <c r="DU199">
        <v>1007</v>
      </c>
      <c r="DV199" t="s">
        <v>24</v>
      </c>
      <c r="DW199" t="s">
        <v>24</v>
      </c>
      <c r="DX199">
        <v>100</v>
      </c>
      <c r="EE199">
        <v>34317561</v>
      </c>
      <c r="EF199">
        <v>30</v>
      </c>
      <c r="EG199" t="s">
        <v>28</v>
      </c>
      <c r="EH199">
        <v>0</v>
      </c>
      <c r="EJ199">
        <v>1</v>
      </c>
      <c r="EK199">
        <v>146</v>
      </c>
      <c r="EL199" t="s">
        <v>241</v>
      </c>
      <c r="EM199" t="s">
        <v>242</v>
      </c>
      <c r="EQ199">
        <v>0</v>
      </c>
      <c r="ER199">
        <v>863.31</v>
      </c>
      <c r="ES199">
        <v>35.35</v>
      </c>
      <c r="ET199">
        <v>676.47</v>
      </c>
      <c r="EU199">
        <v>119.05</v>
      </c>
      <c r="EV199">
        <v>151.49</v>
      </c>
      <c r="EW199">
        <v>14.4</v>
      </c>
      <c r="EX199">
        <v>0</v>
      </c>
      <c r="EY199">
        <v>0</v>
      </c>
      <c r="FQ199">
        <v>0</v>
      </c>
      <c r="FR199">
        <f aca="true" t="shared" si="181" ref="FR199:FR206">ROUND(IF(AND(BH199=3,BI199=3),P199,0),2)</f>
        <v>0</v>
      </c>
      <c r="FS199">
        <v>0</v>
      </c>
      <c r="FX199">
        <v>161</v>
      </c>
      <c r="FY199">
        <v>107</v>
      </c>
      <c r="GD199">
        <v>0</v>
      </c>
      <c r="GF199">
        <v>603877523</v>
      </c>
      <c r="GG199">
        <v>2</v>
      </c>
      <c r="GH199">
        <v>1</v>
      </c>
      <c r="GI199">
        <v>2</v>
      </c>
      <c r="GJ199">
        <v>0</v>
      </c>
      <c r="GK199">
        <f>ROUND(R199*(R12)/100,2)</f>
        <v>672.63</v>
      </c>
      <c r="GL199">
        <f aca="true" t="shared" si="182" ref="GL199:GL206">ROUND(IF(AND(BH199=3,BI199=3,FS199&lt;&gt;0),P199,0),2)</f>
        <v>0</v>
      </c>
      <c r="GM199">
        <f aca="true" t="shared" si="183" ref="GM199:GM206">O199+X199+Y199+GK199</f>
        <v>3164.59</v>
      </c>
      <c r="GN199">
        <f aca="true" t="shared" si="184" ref="GN199:GN206">ROUND(IF(OR(BI199=0,BI199=1),O199+X199+Y199+GK199-GX199,0),2)</f>
        <v>3164.59</v>
      </c>
      <c r="GO199">
        <f aca="true" t="shared" si="185" ref="GO199:GO206">ROUND(IF(BI199=2,O199+X199+Y199+GK199-GX199,0),2)</f>
        <v>0</v>
      </c>
      <c r="GP199">
        <f aca="true" t="shared" si="186" ref="GP199:GP206">ROUND(IF(BI199=4,O199+X199+Y199+GK199,GX199),2)</f>
        <v>0</v>
      </c>
      <c r="GT199">
        <v>0</v>
      </c>
      <c r="GU199">
        <v>1</v>
      </c>
      <c r="GV199">
        <v>0</v>
      </c>
      <c r="GW199">
        <v>0</v>
      </c>
      <c r="GX199">
        <f aca="true" t="shared" si="187" ref="GX199:GX206">ROUND(GT199*GU199*I199,2)</f>
        <v>0</v>
      </c>
    </row>
    <row r="200" spans="1:206" ht="12.75">
      <c r="A200">
        <v>18</v>
      </c>
      <c r="B200">
        <v>1</v>
      </c>
      <c r="C200">
        <v>84</v>
      </c>
      <c r="E200" t="s">
        <v>277</v>
      </c>
      <c r="F200" t="s">
        <v>40</v>
      </c>
      <c r="G200" t="s">
        <v>41</v>
      </c>
      <c r="H200" t="s">
        <v>42</v>
      </c>
      <c r="I200">
        <f>I199*J200</f>
        <v>15.84</v>
      </c>
      <c r="J200">
        <v>99.99999999999999</v>
      </c>
      <c r="O200">
        <f t="shared" si="154"/>
        <v>9081.7</v>
      </c>
      <c r="P200">
        <f t="shared" si="155"/>
        <v>9081.7</v>
      </c>
      <c r="Q200">
        <f t="shared" si="156"/>
        <v>0</v>
      </c>
      <c r="R200">
        <f t="shared" si="157"/>
        <v>0</v>
      </c>
      <c r="S200">
        <f t="shared" si="158"/>
        <v>0</v>
      </c>
      <c r="T200">
        <f t="shared" si="159"/>
        <v>0</v>
      </c>
      <c r="U200">
        <f t="shared" si="160"/>
        <v>0</v>
      </c>
      <c r="V200">
        <f t="shared" si="161"/>
        <v>0</v>
      </c>
      <c r="W200">
        <f t="shared" si="162"/>
        <v>0</v>
      </c>
      <c r="X200">
        <f t="shared" si="163"/>
        <v>0</v>
      </c>
      <c r="Y200">
        <f t="shared" si="163"/>
        <v>0</v>
      </c>
      <c r="AA200">
        <v>34388368</v>
      </c>
      <c r="AB200">
        <f t="shared" si="164"/>
        <v>104.99</v>
      </c>
      <c r="AC200">
        <f t="shared" si="165"/>
        <v>104.99</v>
      </c>
      <c r="AD200">
        <f t="shared" si="166"/>
        <v>0</v>
      </c>
      <c r="AE200">
        <f t="shared" si="167"/>
        <v>0</v>
      </c>
      <c r="AF200">
        <f t="shared" si="167"/>
        <v>0</v>
      </c>
      <c r="AG200">
        <f t="shared" si="168"/>
        <v>0</v>
      </c>
      <c r="AH200">
        <f t="shared" si="169"/>
        <v>0</v>
      </c>
      <c r="AI200">
        <f t="shared" si="169"/>
        <v>0</v>
      </c>
      <c r="AJ200">
        <f t="shared" si="170"/>
        <v>0</v>
      </c>
      <c r="AK200">
        <v>104.99</v>
      </c>
      <c r="AL200">
        <v>104.99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1</v>
      </c>
      <c r="AW200">
        <v>1.002</v>
      </c>
      <c r="AZ200">
        <v>1</v>
      </c>
      <c r="BA200">
        <v>1</v>
      </c>
      <c r="BB200">
        <v>1</v>
      </c>
      <c r="BC200">
        <v>5.45</v>
      </c>
      <c r="BH200">
        <v>3</v>
      </c>
      <c r="BI200">
        <v>1</v>
      </c>
      <c r="BJ200" t="s">
        <v>43</v>
      </c>
      <c r="BM200">
        <v>141</v>
      </c>
      <c r="BN200">
        <v>0</v>
      </c>
      <c r="BO200" t="s">
        <v>40</v>
      </c>
      <c r="BP200">
        <v>1</v>
      </c>
      <c r="BQ200">
        <v>30</v>
      </c>
      <c r="BR200">
        <v>0</v>
      </c>
      <c r="BS200">
        <v>1</v>
      </c>
      <c r="BT200">
        <v>1</v>
      </c>
      <c r="BU200">
        <v>1</v>
      </c>
      <c r="BV200">
        <v>1</v>
      </c>
      <c r="BW200">
        <v>1</v>
      </c>
      <c r="BX200">
        <v>1</v>
      </c>
      <c r="BZ200">
        <v>0</v>
      </c>
      <c r="CA200">
        <v>0</v>
      </c>
      <c r="CF200">
        <v>0</v>
      </c>
      <c r="CG200">
        <v>0</v>
      </c>
      <c r="CM200">
        <v>0</v>
      </c>
      <c r="CO200">
        <v>0</v>
      </c>
      <c r="CP200">
        <f t="shared" si="171"/>
        <v>9081.7</v>
      </c>
      <c r="CQ200">
        <f t="shared" si="172"/>
        <v>573.3398910000001</v>
      </c>
      <c r="CR200">
        <f t="shared" si="173"/>
        <v>0</v>
      </c>
      <c r="CS200">
        <f t="shared" si="174"/>
        <v>0</v>
      </c>
      <c r="CT200">
        <f t="shared" si="175"/>
        <v>0</v>
      </c>
      <c r="CU200">
        <f t="shared" si="176"/>
        <v>0</v>
      </c>
      <c r="CV200">
        <f t="shared" si="177"/>
        <v>0</v>
      </c>
      <c r="CW200">
        <f t="shared" si="178"/>
        <v>0</v>
      </c>
      <c r="CX200">
        <f t="shared" si="178"/>
        <v>0</v>
      </c>
      <c r="CY200">
        <f t="shared" si="179"/>
        <v>0</v>
      </c>
      <c r="CZ200">
        <f t="shared" si="180"/>
        <v>0</v>
      </c>
      <c r="DN200">
        <v>133</v>
      </c>
      <c r="DO200">
        <v>113</v>
      </c>
      <c r="DP200">
        <v>1.067</v>
      </c>
      <c r="DQ200">
        <v>1.003</v>
      </c>
      <c r="DU200">
        <v>1007</v>
      </c>
      <c r="DV200" t="s">
        <v>42</v>
      </c>
      <c r="DW200" t="s">
        <v>42</v>
      </c>
      <c r="DX200">
        <v>1</v>
      </c>
      <c r="EE200">
        <v>34317556</v>
      </c>
      <c r="EF200">
        <v>30</v>
      </c>
      <c r="EG200" t="s">
        <v>28</v>
      </c>
      <c r="EH200">
        <v>0</v>
      </c>
      <c r="EJ200">
        <v>1</v>
      </c>
      <c r="EK200">
        <v>141</v>
      </c>
      <c r="EL200" t="s">
        <v>37</v>
      </c>
      <c r="EM200" t="s">
        <v>38</v>
      </c>
      <c r="EQ200">
        <v>0</v>
      </c>
      <c r="ER200">
        <v>104.99</v>
      </c>
      <c r="ES200">
        <v>104.99</v>
      </c>
      <c r="ET200">
        <v>0</v>
      </c>
      <c r="EU200">
        <v>0</v>
      </c>
      <c r="EV200">
        <v>0</v>
      </c>
      <c r="EW200">
        <v>0</v>
      </c>
      <c r="EX200">
        <v>0</v>
      </c>
      <c r="FQ200">
        <v>0</v>
      </c>
      <c r="FR200">
        <f t="shared" si="181"/>
        <v>0</v>
      </c>
      <c r="FS200">
        <v>0</v>
      </c>
      <c r="FX200">
        <v>133</v>
      </c>
      <c r="FY200">
        <v>113</v>
      </c>
      <c r="GD200">
        <v>0</v>
      </c>
      <c r="GF200">
        <v>-419971176</v>
      </c>
      <c r="GG200">
        <v>2</v>
      </c>
      <c r="GH200">
        <v>1</v>
      </c>
      <c r="GI200">
        <v>2</v>
      </c>
      <c r="GJ200">
        <v>0</v>
      </c>
      <c r="GK200">
        <f>ROUND(R200*(R12)/100,2)</f>
        <v>0</v>
      </c>
      <c r="GL200">
        <f t="shared" si="182"/>
        <v>0</v>
      </c>
      <c r="GM200">
        <f t="shared" si="183"/>
        <v>9081.7</v>
      </c>
      <c r="GN200">
        <f t="shared" si="184"/>
        <v>9081.7</v>
      </c>
      <c r="GO200">
        <f t="shared" si="185"/>
        <v>0</v>
      </c>
      <c r="GP200">
        <f t="shared" si="186"/>
        <v>0</v>
      </c>
      <c r="GT200">
        <v>0</v>
      </c>
      <c r="GU200">
        <v>1</v>
      </c>
      <c r="GV200">
        <v>0</v>
      </c>
      <c r="GW200">
        <v>0</v>
      </c>
      <c r="GX200">
        <f t="shared" si="187"/>
        <v>0</v>
      </c>
    </row>
    <row r="201" spans="1:206" ht="12.75">
      <c r="A201">
        <v>17</v>
      </c>
      <c r="B201">
        <v>1</v>
      </c>
      <c r="C201">
        <f>ROW(SmtRes!A93)</f>
        <v>93</v>
      </c>
      <c r="D201">
        <f>ROW(EtalonRes!A93)</f>
        <v>93</v>
      </c>
      <c r="E201" t="s">
        <v>278</v>
      </c>
      <c r="F201" t="s">
        <v>279</v>
      </c>
      <c r="G201" t="s">
        <v>280</v>
      </c>
      <c r="H201" t="s">
        <v>281</v>
      </c>
      <c r="I201">
        <f>ROUND(26.65/1000,9)</f>
        <v>0.02665</v>
      </c>
      <c r="J201">
        <v>0</v>
      </c>
      <c r="O201">
        <f t="shared" si="154"/>
        <v>3250.95</v>
      </c>
      <c r="P201">
        <f t="shared" si="155"/>
        <v>911.37</v>
      </c>
      <c r="Q201">
        <f t="shared" si="156"/>
        <v>596.37</v>
      </c>
      <c r="R201">
        <f t="shared" si="157"/>
        <v>203.55</v>
      </c>
      <c r="S201">
        <f t="shared" si="158"/>
        <v>1743.21</v>
      </c>
      <c r="T201">
        <f t="shared" si="159"/>
        <v>0</v>
      </c>
      <c r="U201">
        <f t="shared" si="160"/>
        <v>7.449980849999999</v>
      </c>
      <c r="V201">
        <f t="shared" si="161"/>
        <v>0</v>
      </c>
      <c r="W201">
        <f t="shared" si="162"/>
        <v>0</v>
      </c>
      <c r="X201">
        <f t="shared" si="163"/>
        <v>2283.61</v>
      </c>
      <c r="Y201">
        <f t="shared" si="163"/>
        <v>941.33</v>
      </c>
      <c r="AA201">
        <v>34388368</v>
      </c>
      <c r="AB201">
        <f t="shared" si="164"/>
        <v>11728.36</v>
      </c>
      <c r="AC201">
        <f t="shared" si="165"/>
        <v>6731.62</v>
      </c>
      <c r="AD201">
        <f t="shared" si="166"/>
        <v>1934.25</v>
      </c>
      <c r="AE201">
        <f t="shared" si="167"/>
        <v>357.6</v>
      </c>
      <c r="AF201">
        <f t="shared" si="167"/>
        <v>3062.49</v>
      </c>
      <c r="AG201">
        <f t="shared" si="168"/>
        <v>0</v>
      </c>
      <c r="AH201">
        <f t="shared" si="169"/>
        <v>267</v>
      </c>
      <c r="AI201">
        <f t="shared" si="169"/>
        <v>0</v>
      </c>
      <c r="AJ201">
        <f t="shared" si="170"/>
        <v>0</v>
      </c>
      <c r="AK201">
        <v>11728.36</v>
      </c>
      <c r="AL201">
        <v>6731.62</v>
      </c>
      <c r="AM201">
        <v>1934.25</v>
      </c>
      <c r="AN201">
        <v>357.6</v>
      </c>
      <c r="AO201">
        <v>3062.49</v>
      </c>
      <c r="AP201">
        <v>0</v>
      </c>
      <c r="AQ201">
        <v>267</v>
      </c>
      <c r="AR201">
        <v>0</v>
      </c>
      <c r="AS201">
        <v>0</v>
      </c>
      <c r="AT201">
        <v>131</v>
      </c>
      <c r="AU201">
        <v>54</v>
      </c>
      <c r="AV201">
        <v>1.047</v>
      </c>
      <c r="AW201">
        <v>1.002</v>
      </c>
      <c r="AZ201">
        <v>1</v>
      </c>
      <c r="BA201">
        <v>20.4</v>
      </c>
      <c r="BB201">
        <v>11.05</v>
      </c>
      <c r="BC201">
        <v>5.07</v>
      </c>
      <c r="BH201">
        <v>0</v>
      </c>
      <c r="BI201">
        <v>1</v>
      </c>
      <c r="BJ201" t="s">
        <v>282</v>
      </c>
      <c r="BM201">
        <v>152</v>
      </c>
      <c r="BN201">
        <v>0</v>
      </c>
      <c r="BO201" t="s">
        <v>279</v>
      </c>
      <c r="BP201">
        <v>1</v>
      </c>
      <c r="BQ201">
        <v>30</v>
      </c>
      <c r="BR201">
        <v>0</v>
      </c>
      <c r="BS201">
        <v>20.4</v>
      </c>
      <c r="BT201">
        <v>1</v>
      </c>
      <c r="BU201">
        <v>1</v>
      </c>
      <c r="BV201">
        <v>1</v>
      </c>
      <c r="BW201">
        <v>1</v>
      </c>
      <c r="BX201">
        <v>1</v>
      </c>
      <c r="BZ201">
        <v>131</v>
      </c>
      <c r="CA201">
        <v>54</v>
      </c>
      <c r="CF201">
        <v>0</v>
      </c>
      <c r="CG201">
        <v>0</v>
      </c>
      <c r="CM201">
        <v>0</v>
      </c>
      <c r="CO201">
        <v>0</v>
      </c>
      <c r="CP201">
        <f t="shared" si="171"/>
        <v>3250.95</v>
      </c>
      <c r="CQ201">
        <f t="shared" si="172"/>
        <v>34197.5720268</v>
      </c>
      <c r="CR201">
        <f t="shared" si="173"/>
        <v>22378.0152375</v>
      </c>
      <c r="CS201">
        <f t="shared" si="174"/>
        <v>7637.90688</v>
      </c>
      <c r="CT201">
        <f t="shared" si="175"/>
        <v>65411.11141199999</v>
      </c>
      <c r="CU201">
        <f t="shared" si="176"/>
        <v>0</v>
      </c>
      <c r="CV201">
        <f t="shared" si="177"/>
        <v>279.549</v>
      </c>
      <c r="CW201">
        <f t="shared" si="178"/>
        <v>0</v>
      </c>
      <c r="CX201">
        <f t="shared" si="178"/>
        <v>0</v>
      </c>
      <c r="CY201">
        <f t="shared" si="179"/>
        <v>2283.6051</v>
      </c>
      <c r="CZ201">
        <f t="shared" si="180"/>
        <v>941.3334000000001</v>
      </c>
      <c r="DN201">
        <v>161</v>
      </c>
      <c r="DO201">
        <v>107</v>
      </c>
      <c r="DP201">
        <v>1.047</v>
      </c>
      <c r="DQ201">
        <v>1.002</v>
      </c>
      <c r="DU201">
        <v>1005</v>
      </c>
      <c r="DV201" t="s">
        <v>281</v>
      </c>
      <c r="DW201" t="s">
        <v>281</v>
      </c>
      <c r="DX201">
        <v>1000</v>
      </c>
      <c r="EE201">
        <v>34317567</v>
      </c>
      <c r="EF201">
        <v>30</v>
      </c>
      <c r="EG201" t="s">
        <v>28</v>
      </c>
      <c r="EH201">
        <v>0</v>
      </c>
      <c r="EJ201">
        <v>1</v>
      </c>
      <c r="EK201">
        <v>152</v>
      </c>
      <c r="EL201" t="s">
        <v>283</v>
      </c>
      <c r="EM201" t="s">
        <v>284</v>
      </c>
      <c r="EQ201">
        <v>0</v>
      </c>
      <c r="ER201">
        <v>11728.36</v>
      </c>
      <c r="ES201">
        <v>6731.62</v>
      </c>
      <c r="ET201">
        <v>1934.25</v>
      </c>
      <c r="EU201">
        <v>357.6</v>
      </c>
      <c r="EV201">
        <v>3062.49</v>
      </c>
      <c r="EW201">
        <v>267</v>
      </c>
      <c r="EX201">
        <v>0</v>
      </c>
      <c r="EY201">
        <v>0</v>
      </c>
      <c r="FQ201">
        <v>0</v>
      </c>
      <c r="FR201">
        <f t="shared" si="181"/>
        <v>0</v>
      </c>
      <c r="FS201">
        <v>0</v>
      </c>
      <c r="FX201">
        <v>161</v>
      </c>
      <c r="FY201">
        <v>107</v>
      </c>
      <c r="GD201">
        <v>0</v>
      </c>
      <c r="GF201">
        <v>-709206500</v>
      </c>
      <c r="GG201">
        <v>2</v>
      </c>
      <c r="GH201">
        <v>1</v>
      </c>
      <c r="GI201">
        <v>2</v>
      </c>
      <c r="GJ201">
        <v>0</v>
      </c>
      <c r="GK201">
        <f>ROUND(R201*(R12)/100,2)</f>
        <v>339.93</v>
      </c>
      <c r="GL201">
        <f t="shared" si="182"/>
        <v>0</v>
      </c>
      <c r="GM201">
        <f t="shared" si="183"/>
        <v>6815.82</v>
      </c>
      <c r="GN201">
        <f t="shared" si="184"/>
        <v>6815.82</v>
      </c>
      <c r="GO201">
        <f t="shared" si="185"/>
        <v>0</v>
      </c>
      <c r="GP201">
        <f t="shared" si="186"/>
        <v>0</v>
      </c>
      <c r="GT201">
        <v>0</v>
      </c>
      <c r="GU201">
        <v>1</v>
      </c>
      <c r="GV201">
        <v>0</v>
      </c>
      <c r="GW201">
        <v>0</v>
      </c>
      <c r="GX201">
        <f t="shared" si="187"/>
        <v>0</v>
      </c>
    </row>
    <row r="202" spans="1:206" ht="12.75">
      <c r="A202">
        <v>17</v>
      </c>
      <c r="B202">
        <v>1</v>
      </c>
      <c r="C202">
        <f>ROW(SmtRes!A103)</f>
        <v>103</v>
      </c>
      <c r="D202">
        <f>ROW(EtalonRes!A104)</f>
        <v>104</v>
      </c>
      <c r="E202" t="s">
        <v>285</v>
      </c>
      <c r="F202" t="s">
        <v>253</v>
      </c>
      <c r="G202" t="s">
        <v>286</v>
      </c>
      <c r="H202" t="s">
        <v>225</v>
      </c>
      <c r="I202">
        <f>ROUND(61.14/100,9)</f>
        <v>0.6114</v>
      </c>
      <c r="J202">
        <v>0</v>
      </c>
      <c r="O202">
        <f t="shared" si="154"/>
        <v>3558.27</v>
      </c>
      <c r="P202">
        <f t="shared" si="155"/>
        <v>316.8</v>
      </c>
      <c r="Q202">
        <f t="shared" si="156"/>
        <v>2560.19</v>
      </c>
      <c r="R202">
        <f t="shared" si="157"/>
        <v>995.34</v>
      </c>
      <c r="S202">
        <f t="shared" si="158"/>
        <v>681.28</v>
      </c>
      <c r="T202">
        <f t="shared" si="159"/>
        <v>0</v>
      </c>
      <c r="U202">
        <f t="shared" si="160"/>
        <v>2.7461825820000003</v>
      </c>
      <c r="V202">
        <f t="shared" si="161"/>
        <v>0</v>
      </c>
      <c r="W202">
        <f t="shared" si="162"/>
        <v>0</v>
      </c>
      <c r="X202">
        <f t="shared" si="163"/>
        <v>892.48</v>
      </c>
      <c r="Y202">
        <f t="shared" si="163"/>
        <v>367.89</v>
      </c>
      <c r="AA202">
        <v>34388368</v>
      </c>
      <c r="AB202">
        <f t="shared" si="164"/>
        <v>529.23</v>
      </c>
      <c r="AC202">
        <f t="shared" si="165"/>
        <v>57.83</v>
      </c>
      <c r="AD202">
        <f t="shared" si="166"/>
        <v>419.23</v>
      </c>
      <c r="AE202">
        <f t="shared" si="167"/>
        <v>76.22</v>
      </c>
      <c r="AF202">
        <f t="shared" si="167"/>
        <v>52.17</v>
      </c>
      <c r="AG202">
        <f t="shared" si="168"/>
        <v>0</v>
      </c>
      <c r="AH202">
        <f t="shared" si="169"/>
        <v>4.29</v>
      </c>
      <c r="AI202">
        <f t="shared" si="169"/>
        <v>0</v>
      </c>
      <c r="AJ202">
        <f t="shared" si="170"/>
        <v>0</v>
      </c>
      <c r="AK202">
        <v>529.23</v>
      </c>
      <c r="AL202">
        <v>57.83</v>
      </c>
      <c r="AM202">
        <v>419.23</v>
      </c>
      <c r="AN202">
        <v>76.22</v>
      </c>
      <c r="AO202">
        <v>52.17</v>
      </c>
      <c r="AP202">
        <v>0</v>
      </c>
      <c r="AQ202">
        <v>4.29</v>
      </c>
      <c r="AR202">
        <v>0</v>
      </c>
      <c r="AS202">
        <v>0</v>
      </c>
      <c r="AT202">
        <v>131</v>
      </c>
      <c r="AU202">
        <v>54</v>
      </c>
      <c r="AV202">
        <v>1.047</v>
      </c>
      <c r="AW202">
        <v>1</v>
      </c>
      <c r="AZ202">
        <v>1</v>
      </c>
      <c r="BA202">
        <v>20.4</v>
      </c>
      <c r="BB202">
        <v>9.54</v>
      </c>
      <c r="BC202">
        <v>8.96</v>
      </c>
      <c r="BH202">
        <v>0</v>
      </c>
      <c r="BI202">
        <v>1</v>
      </c>
      <c r="BJ202" t="s">
        <v>255</v>
      </c>
      <c r="BM202">
        <v>158</v>
      </c>
      <c r="BN202">
        <v>0</v>
      </c>
      <c r="BO202" t="s">
        <v>253</v>
      </c>
      <c r="BP202">
        <v>1</v>
      </c>
      <c r="BQ202">
        <v>30</v>
      </c>
      <c r="BR202">
        <v>0</v>
      </c>
      <c r="BS202">
        <v>20.4</v>
      </c>
      <c r="BT202">
        <v>1</v>
      </c>
      <c r="BU202">
        <v>1</v>
      </c>
      <c r="BV202">
        <v>1</v>
      </c>
      <c r="BW202">
        <v>1</v>
      </c>
      <c r="BX202">
        <v>1</v>
      </c>
      <c r="BZ202">
        <v>131</v>
      </c>
      <c r="CA202">
        <v>54</v>
      </c>
      <c r="CF202">
        <v>0</v>
      </c>
      <c r="CG202">
        <v>0</v>
      </c>
      <c r="CM202">
        <v>0</v>
      </c>
      <c r="CO202">
        <v>0</v>
      </c>
      <c r="CP202">
        <f t="shared" si="171"/>
        <v>3558.2700000000004</v>
      </c>
      <c r="CQ202">
        <f t="shared" si="172"/>
        <v>518.1568000000001</v>
      </c>
      <c r="CR202">
        <f t="shared" si="173"/>
        <v>4187.428547399999</v>
      </c>
      <c r="CS202">
        <f t="shared" si="174"/>
        <v>1627.9677359999998</v>
      </c>
      <c r="CT202">
        <f t="shared" si="175"/>
        <v>1114.2885959999999</v>
      </c>
      <c r="CU202">
        <f t="shared" si="176"/>
        <v>0</v>
      </c>
      <c r="CV202">
        <f t="shared" si="177"/>
        <v>4.49163</v>
      </c>
      <c r="CW202">
        <f t="shared" si="178"/>
        <v>0</v>
      </c>
      <c r="CX202">
        <f t="shared" si="178"/>
        <v>0</v>
      </c>
      <c r="CY202">
        <f t="shared" si="179"/>
        <v>892.4768</v>
      </c>
      <c r="CZ202">
        <f t="shared" si="180"/>
        <v>367.8912</v>
      </c>
      <c r="DN202">
        <v>161</v>
      </c>
      <c r="DO202">
        <v>107</v>
      </c>
      <c r="DP202">
        <v>1.047</v>
      </c>
      <c r="DQ202">
        <v>1</v>
      </c>
      <c r="DU202">
        <v>1005</v>
      </c>
      <c r="DV202" t="s">
        <v>225</v>
      </c>
      <c r="DW202" t="s">
        <v>225</v>
      </c>
      <c r="DX202">
        <v>100</v>
      </c>
      <c r="EE202">
        <v>34317573</v>
      </c>
      <c r="EF202">
        <v>30</v>
      </c>
      <c r="EG202" t="s">
        <v>28</v>
      </c>
      <c r="EH202">
        <v>0</v>
      </c>
      <c r="EJ202">
        <v>1</v>
      </c>
      <c r="EK202">
        <v>158</v>
      </c>
      <c r="EL202" t="s">
        <v>256</v>
      </c>
      <c r="EM202" t="s">
        <v>257</v>
      </c>
      <c r="EQ202">
        <v>0</v>
      </c>
      <c r="ER202">
        <v>529.23</v>
      </c>
      <c r="ES202">
        <v>57.83</v>
      </c>
      <c r="ET202">
        <v>419.23</v>
      </c>
      <c r="EU202">
        <v>76.22</v>
      </c>
      <c r="EV202">
        <v>52.17</v>
      </c>
      <c r="EW202">
        <v>4.29</v>
      </c>
      <c r="EX202">
        <v>0</v>
      </c>
      <c r="EY202">
        <v>0</v>
      </c>
      <c r="FQ202">
        <v>0</v>
      </c>
      <c r="FR202">
        <f t="shared" si="181"/>
        <v>0</v>
      </c>
      <c r="FS202">
        <v>0</v>
      </c>
      <c r="FX202">
        <v>161</v>
      </c>
      <c r="FY202">
        <v>107</v>
      </c>
      <c r="GD202">
        <v>0</v>
      </c>
      <c r="GF202">
        <v>-318397636</v>
      </c>
      <c r="GG202">
        <v>2</v>
      </c>
      <c r="GH202">
        <v>1</v>
      </c>
      <c r="GI202">
        <v>2</v>
      </c>
      <c r="GJ202">
        <v>0</v>
      </c>
      <c r="GK202">
        <f>ROUND(R202*(R12)/100,2)</f>
        <v>1662.22</v>
      </c>
      <c r="GL202">
        <f t="shared" si="182"/>
        <v>0</v>
      </c>
      <c r="GM202">
        <f t="shared" si="183"/>
        <v>6480.860000000001</v>
      </c>
      <c r="GN202">
        <f t="shared" si="184"/>
        <v>6480.86</v>
      </c>
      <c r="GO202">
        <f t="shared" si="185"/>
        <v>0</v>
      </c>
      <c r="GP202">
        <f t="shared" si="186"/>
        <v>0</v>
      </c>
      <c r="GT202">
        <v>0</v>
      </c>
      <c r="GU202">
        <v>1</v>
      </c>
      <c r="GV202">
        <v>0</v>
      </c>
      <c r="GW202">
        <v>0</v>
      </c>
      <c r="GX202">
        <f t="shared" si="187"/>
        <v>0</v>
      </c>
    </row>
    <row r="203" spans="1:206" ht="12.75">
      <c r="A203">
        <v>17</v>
      </c>
      <c r="B203">
        <v>1</v>
      </c>
      <c r="C203">
        <f>ROW(SmtRes!A106)</f>
        <v>106</v>
      </c>
      <c r="D203">
        <f>ROW(EtalonRes!A108)</f>
        <v>108</v>
      </c>
      <c r="E203" t="s">
        <v>287</v>
      </c>
      <c r="F203" t="s">
        <v>259</v>
      </c>
      <c r="G203" t="s">
        <v>260</v>
      </c>
      <c r="H203" t="s">
        <v>225</v>
      </c>
      <c r="I203">
        <f>ROUND(20.38/100,9)</f>
        <v>0.2038</v>
      </c>
      <c r="J203">
        <v>0</v>
      </c>
      <c r="O203">
        <f t="shared" si="154"/>
        <v>61.82</v>
      </c>
      <c r="P203">
        <f t="shared" si="155"/>
        <v>0</v>
      </c>
      <c r="Q203">
        <f t="shared" si="156"/>
        <v>31.65</v>
      </c>
      <c r="R203">
        <f t="shared" si="157"/>
        <v>15.54</v>
      </c>
      <c r="S203">
        <f t="shared" si="158"/>
        <v>30.17</v>
      </c>
      <c r="T203">
        <f t="shared" si="159"/>
        <v>0</v>
      </c>
      <c r="U203">
        <f t="shared" si="160"/>
        <v>0.11309065800000001</v>
      </c>
      <c r="V203">
        <f t="shared" si="161"/>
        <v>0</v>
      </c>
      <c r="W203">
        <f t="shared" si="162"/>
        <v>0</v>
      </c>
      <c r="X203">
        <f t="shared" si="163"/>
        <v>39.52</v>
      </c>
      <c r="Y203">
        <f t="shared" si="163"/>
        <v>16.29</v>
      </c>
      <c r="AA203">
        <v>34388368</v>
      </c>
      <c r="AB203">
        <f t="shared" si="164"/>
        <v>24.28</v>
      </c>
      <c r="AC203">
        <f t="shared" si="165"/>
        <v>0</v>
      </c>
      <c r="AD203">
        <f t="shared" si="166"/>
        <v>17.35</v>
      </c>
      <c r="AE203">
        <f t="shared" si="167"/>
        <v>3.57</v>
      </c>
      <c r="AF203">
        <f t="shared" si="167"/>
        <v>6.93</v>
      </c>
      <c r="AG203">
        <f t="shared" si="168"/>
        <v>0</v>
      </c>
      <c r="AH203">
        <f t="shared" si="169"/>
        <v>0.53</v>
      </c>
      <c r="AI203">
        <f t="shared" si="169"/>
        <v>0</v>
      </c>
      <c r="AJ203">
        <f t="shared" si="170"/>
        <v>0</v>
      </c>
      <c r="AK203">
        <v>24.28</v>
      </c>
      <c r="AL203">
        <v>0</v>
      </c>
      <c r="AM203">
        <v>17.35</v>
      </c>
      <c r="AN203">
        <v>3.57</v>
      </c>
      <c r="AO203">
        <v>6.93</v>
      </c>
      <c r="AP203">
        <v>0</v>
      </c>
      <c r="AQ203">
        <v>0.53</v>
      </c>
      <c r="AR203">
        <v>0</v>
      </c>
      <c r="AS203">
        <v>0</v>
      </c>
      <c r="AT203">
        <v>131</v>
      </c>
      <c r="AU203">
        <v>54</v>
      </c>
      <c r="AV203">
        <v>1.047</v>
      </c>
      <c r="AW203">
        <v>1</v>
      </c>
      <c r="AZ203">
        <v>1</v>
      </c>
      <c r="BA203">
        <v>20.4</v>
      </c>
      <c r="BB203">
        <v>8.55</v>
      </c>
      <c r="BC203">
        <v>1</v>
      </c>
      <c r="BH203">
        <v>0</v>
      </c>
      <c r="BI203">
        <v>1</v>
      </c>
      <c r="BJ203" t="s">
        <v>261</v>
      </c>
      <c r="BM203">
        <v>158</v>
      </c>
      <c r="BN203">
        <v>0</v>
      </c>
      <c r="BO203" t="s">
        <v>259</v>
      </c>
      <c r="BP203">
        <v>1</v>
      </c>
      <c r="BQ203">
        <v>30</v>
      </c>
      <c r="BR203">
        <v>0</v>
      </c>
      <c r="BS203">
        <v>20.4</v>
      </c>
      <c r="BT203">
        <v>1</v>
      </c>
      <c r="BU203">
        <v>1</v>
      </c>
      <c r="BV203">
        <v>1</v>
      </c>
      <c r="BW203">
        <v>1</v>
      </c>
      <c r="BX203">
        <v>1</v>
      </c>
      <c r="BZ203">
        <v>131</v>
      </c>
      <c r="CA203">
        <v>54</v>
      </c>
      <c r="CF203">
        <v>0</v>
      </c>
      <c r="CG203">
        <v>0</v>
      </c>
      <c r="CM203">
        <v>0</v>
      </c>
      <c r="CO203">
        <v>0</v>
      </c>
      <c r="CP203">
        <f t="shared" si="171"/>
        <v>61.82</v>
      </c>
      <c r="CQ203">
        <f t="shared" si="172"/>
        <v>0</v>
      </c>
      <c r="CR203">
        <f t="shared" si="173"/>
        <v>155.31459750000002</v>
      </c>
      <c r="CS203">
        <f t="shared" si="174"/>
        <v>76.25091599999999</v>
      </c>
      <c r="CT203">
        <f t="shared" si="175"/>
        <v>148.01648399999996</v>
      </c>
      <c r="CU203">
        <f t="shared" si="176"/>
        <v>0</v>
      </c>
      <c r="CV203">
        <f t="shared" si="177"/>
        <v>0.55491</v>
      </c>
      <c r="CW203">
        <f t="shared" si="178"/>
        <v>0</v>
      </c>
      <c r="CX203">
        <f t="shared" si="178"/>
        <v>0</v>
      </c>
      <c r="CY203">
        <f t="shared" si="179"/>
        <v>39.5227</v>
      </c>
      <c r="CZ203">
        <f t="shared" si="180"/>
        <v>16.291800000000002</v>
      </c>
      <c r="DN203">
        <v>161</v>
      </c>
      <c r="DO203">
        <v>107</v>
      </c>
      <c r="DP203">
        <v>1.047</v>
      </c>
      <c r="DQ203">
        <v>1</v>
      </c>
      <c r="DU203">
        <v>1005</v>
      </c>
      <c r="DV203" t="s">
        <v>225</v>
      </c>
      <c r="DW203" t="s">
        <v>225</v>
      </c>
      <c r="DX203">
        <v>100</v>
      </c>
      <c r="EE203">
        <v>34317573</v>
      </c>
      <c r="EF203">
        <v>30</v>
      </c>
      <c r="EG203" t="s">
        <v>28</v>
      </c>
      <c r="EH203">
        <v>0</v>
      </c>
      <c r="EJ203">
        <v>1</v>
      </c>
      <c r="EK203">
        <v>158</v>
      </c>
      <c r="EL203" t="s">
        <v>256</v>
      </c>
      <c r="EM203" t="s">
        <v>257</v>
      </c>
      <c r="EQ203">
        <v>0</v>
      </c>
      <c r="ER203">
        <v>24.28</v>
      </c>
      <c r="ES203">
        <v>0</v>
      </c>
      <c r="ET203">
        <v>17.35</v>
      </c>
      <c r="EU203">
        <v>3.57</v>
      </c>
      <c r="EV203">
        <v>6.93</v>
      </c>
      <c r="EW203">
        <v>0.53</v>
      </c>
      <c r="EX203">
        <v>0</v>
      </c>
      <c r="EY203">
        <v>0</v>
      </c>
      <c r="FQ203">
        <v>0</v>
      </c>
      <c r="FR203">
        <f t="shared" si="181"/>
        <v>0</v>
      </c>
      <c r="FS203">
        <v>0</v>
      </c>
      <c r="FX203">
        <v>161</v>
      </c>
      <c r="FY203">
        <v>107</v>
      </c>
      <c r="GD203">
        <v>0</v>
      </c>
      <c r="GF203">
        <v>758468508</v>
      </c>
      <c r="GG203">
        <v>2</v>
      </c>
      <c r="GH203">
        <v>1</v>
      </c>
      <c r="GI203">
        <v>2</v>
      </c>
      <c r="GJ203">
        <v>0</v>
      </c>
      <c r="GK203">
        <f>ROUND(R203*(R12)/100,2)</f>
        <v>25.95</v>
      </c>
      <c r="GL203">
        <f t="shared" si="182"/>
        <v>0</v>
      </c>
      <c r="GM203">
        <f t="shared" si="183"/>
        <v>143.57999999999998</v>
      </c>
      <c r="GN203">
        <f t="shared" si="184"/>
        <v>143.58</v>
      </c>
      <c r="GO203">
        <f t="shared" si="185"/>
        <v>0</v>
      </c>
      <c r="GP203">
        <f t="shared" si="186"/>
        <v>0</v>
      </c>
      <c r="GT203">
        <v>0</v>
      </c>
      <c r="GU203">
        <v>1</v>
      </c>
      <c r="GV203">
        <v>0</v>
      </c>
      <c r="GW203">
        <v>0</v>
      </c>
      <c r="GX203">
        <f t="shared" si="187"/>
        <v>0</v>
      </c>
    </row>
    <row r="204" spans="1:206" ht="12.75">
      <c r="A204">
        <v>17</v>
      </c>
      <c r="B204">
        <v>1</v>
      </c>
      <c r="E204" t="s">
        <v>288</v>
      </c>
      <c r="F204" t="s">
        <v>263</v>
      </c>
      <c r="G204" t="s">
        <v>264</v>
      </c>
      <c r="H204" t="s">
        <v>265</v>
      </c>
      <c r="I204">
        <v>6.62</v>
      </c>
      <c r="J204">
        <v>0</v>
      </c>
      <c r="O204">
        <f t="shared" si="154"/>
        <v>17088.14</v>
      </c>
      <c r="P204">
        <f t="shared" si="155"/>
        <v>17088.14</v>
      </c>
      <c r="Q204">
        <f t="shared" si="156"/>
        <v>0</v>
      </c>
      <c r="R204">
        <f t="shared" si="157"/>
        <v>0</v>
      </c>
      <c r="S204">
        <f t="shared" si="158"/>
        <v>0</v>
      </c>
      <c r="T204">
        <f t="shared" si="159"/>
        <v>0</v>
      </c>
      <c r="U204">
        <f t="shared" si="160"/>
        <v>0</v>
      </c>
      <c r="V204">
        <f t="shared" si="161"/>
        <v>0</v>
      </c>
      <c r="W204">
        <f t="shared" si="162"/>
        <v>0</v>
      </c>
      <c r="X204">
        <f t="shared" si="163"/>
        <v>0</v>
      </c>
      <c r="Y204">
        <f t="shared" si="163"/>
        <v>0</v>
      </c>
      <c r="AA204">
        <v>34388368</v>
      </c>
      <c r="AB204">
        <f t="shared" si="164"/>
        <v>296.7</v>
      </c>
      <c r="AC204">
        <f t="shared" si="165"/>
        <v>296.7</v>
      </c>
      <c r="AD204">
        <f t="shared" si="166"/>
        <v>0</v>
      </c>
      <c r="AE204">
        <f t="shared" si="167"/>
        <v>0</v>
      </c>
      <c r="AF204">
        <f t="shared" si="167"/>
        <v>0</v>
      </c>
      <c r="AG204">
        <f t="shared" si="168"/>
        <v>0</v>
      </c>
      <c r="AH204">
        <f t="shared" si="169"/>
        <v>0</v>
      </c>
      <c r="AI204">
        <f t="shared" si="169"/>
        <v>0</v>
      </c>
      <c r="AJ204">
        <f t="shared" si="170"/>
        <v>0</v>
      </c>
      <c r="AK204">
        <v>296.7</v>
      </c>
      <c r="AL204">
        <v>296.7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1</v>
      </c>
      <c r="AW204">
        <v>1</v>
      </c>
      <c r="AZ204">
        <v>1</v>
      </c>
      <c r="BA204">
        <v>1</v>
      </c>
      <c r="BB204">
        <v>1</v>
      </c>
      <c r="BC204">
        <v>8.7</v>
      </c>
      <c r="BH204">
        <v>3</v>
      </c>
      <c r="BI204">
        <v>1</v>
      </c>
      <c r="BJ204" t="s">
        <v>266</v>
      </c>
      <c r="BM204">
        <v>1617</v>
      </c>
      <c r="BN204">
        <v>0</v>
      </c>
      <c r="BO204" t="s">
        <v>263</v>
      </c>
      <c r="BP204">
        <v>1</v>
      </c>
      <c r="BQ204">
        <v>200</v>
      </c>
      <c r="BR204">
        <v>0</v>
      </c>
      <c r="BS204">
        <v>1</v>
      </c>
      <c r="BT204">
        <v>1</v>
      </c>
      <c r="BU204">
        <v>1</v>
      </c>
      <c r="BV204">
        <v>1</v>
      </c>
      <c r="BW204">
        <v>1</v>
      </c>
      <c r="BX204">
        <v>1</v>
      </c>
      <c r="BZ204">
        <v>0</v>
      </c>
      <c r="CA204">
        <v>0</v>
      </c>
      <c r="CF204">
        <v>0</v>
      </c>
      <c r="CG204">
        <v>0</v>
      </c>
      <c r="CM204">
        <v>0</v>
      </c>
      <c r="CO204">
        <v>0</v>
      </c>
      <c r="CP204">
        <f t="shared" si="171"/>
        <v>17088.14</v>
      </c>
      <c r="CQ204">
        <f t="shared" si="172"/>
        <v>2581.2899999999995</v>
      </c>
      <c r="CR204">
        <f t="shared" si="173"/>
        <v>0</v>
      </c>
      <c r="CS204">
        <f t="shared" si="174"/>
        <v>0</v>
      </c>
      <c r="CT204">
        <f t="shared" si="175"/>
        <v>0</v>
      </c>
      <c r="CU204">
        <f t="shared" si="176"/>
        <v>0</v>
      </c>
      <c r="CV204">
        <f t="shared" si="177"/>
        <v>0</v>
      </c>
      <c r="CW204">
        <f t="shared" si="178"/>
        <v>0</v>
      </c>
      <c r="CX204">
        <f t="shared" si="178"/>
        <v>0</v>
      </c>
      <c r="CY204">
        <f t="shared" si="179"/>
        <v>0</v>
      </c>
      <c r="CZ204">
        <f t="shared" si="180"/>
        <v>0</v>
      </c>
      <c r="DN204">
        <v>0</v>
      </c>
      <c r="DO204">
        <v>0</v>
      </c>
      <c r="DP204">
        <v>1</v>
      </c>
      <c r="DQ204">
        <v>1</v>
      </c>
      <c r="DU204">
        <v>1009</v>
      </c>
      <c r="DV204" t="s">
        <v>265</v>
      </c>
      <c r="DW204" t="s">
        <v>265</v>
      </c>
      <c r="DX204">
        <v>1000</v>
      </c>
      <c r="EE204">
        <v>34319032</v>
      </c>
      <c r="EF204">
        <v>200</v>
      </c>
      <c r="EG204" t="s">
        <v>267</v>
      </c>
      <c r="EH204">
        <v>0</v>
      </c>
      <c r="EJ204">
        <v>1</v>
      </c>
      <c r="EK204">
        <v>1617</v>
      </c>
      <c r="EL204" t="s">
        <v>268</v>
      </c>
      <c r="EM204" t="s">
        <v>269</v>
      </c>
      <c r="EQ204">
        <v>0</v>
      </c>
      <c r="ER204">
        <v>296.7</v>
      </c>
      <c r="ES204">
        <v>296.7</v>
      </c>
      <c r="ET204">
        <v>0</v>
      </c>
      <c r="EU204">
        <v>0</v>
      </c>
      <c r="EV204">
        <v>0</v>
      </c>
      <c r="EW204">
        <v>0</v>
      </c>
      <c r="EX204">
        <v>0</v>
      </c>
      <c r="EY204">
        <v>0</v>
      </c>
      <c r="FQ204">
        <v>0</v>
      </c>
      <c r="FR204">
        <f t="shared" si="181"/>
        <v>0</v>
      </c>
      <c r="FS204">
        <v>0</v>
      </c>
      <c r="FX204">
        <v>0</v>
      </c>
      <c r="FY204">
        <v>0</v>
      </c>
      <c r="GD204">
        <v>0</v>
      </c>
      <c r="GF204">
        <v>447298222</v>
      </c>
      <c r="GG204">
        <v>2</v>
      </c>
      <c r="GH204">
        <v>1</v>
      </c>
      <c r="GI204">
        <v>2</v>
      </c>
      <c r="GJ204">
        <v>0</v>
      </c>
      <c r="GK204">
        <f>ROUND(R204*(R12)/100,2)</f>
        <v>0</v>
      </c>
      <c r="GL204">
        <f t="shared" si="182"/>
        <v>0</v>
      </c>
      <c r="GM204">
        <f t="shared" si="183"/>
        <v>17088.14</v>
      </c>
      <c r="GN204">
        <f t="shared" si="184"/>
        <v>17088.14</v>
      </c>
      <c r="GO204">
        <f t="shared" si="185"/>
        <v>0</v>
      </c>
      <c r="GP204">
        <f t="shared" si="186"/>
        <v>0</v>
      </c>
      <c r="GT204">
        <v>0</v>
      </c>
      <c r="GU204">
        <v>1</v>
      </c>
      <c r="GV204">
        <v>0</v>
      </c>
      <c r="GW204">
        <v>0</v>
      </c>
      <c r="GX204">
        <f t="shared" si="187"/>
        <v>0</v>
      </c>
    </row>
    <row r="205" spans="1:206" ht="12.75">
      <c r="A205">
        <v>17</v>
      </c>
      <c r="B205">
        <v>1</v>
      </c>
      <c r="C205">
        <f>ROW(SmtRes!A116)</f>
        <v>116</v>
      </c>
      <c r="D205">
        <f>ROW(EtalonRes!A119)</f>
        <v>119</v>
      </c>
      <c r="E205" t="s">
        <v>289</v>
      </c>
      <c r="F205" t="s">
        <v>253</v>
      </c>
      <c r="G205" t="s">
        <v>254</v>
      </c>
      <c r="H205" t="s">
        <v>225</v>
      </c>
      <c r="I205">
        <f>ROUND(53.31/100,9)</f>
        <v>0.5331</v>
      </c>
      <c r="J205">
        <v>0</v>
      </c>
      <c r="O205">
        <f t="shared" si="154"/>
        <v>3102.58</v>
      </c>
      <c r="P205">
        <f t="shared" si="155"/>
        <v>276.23</v>
      </c>
      <c r="Q205">
        <f t="shared" si="156"/>
        <v>2232.32</v>
      </c>
      <c r="R205">
        <f t="shared" si="157"/>
        <v>867.87</v>
      </c>
      <c r="S205">
        <f t="shared" si="158"/>
        <v>594.03</v>
      </c>
      <c r="T205">
        <f t="shared" si="159"/>
        <v>0</v>
      </c>
      <c r="U205">
        <f t="shared" si="160"/>
        <v>2.394487953</v>
      </c>
      <c r="V205">
        <f t="shared" si="161"/>
        <v>0</v>
      </c>
      <c r="W205">
        <f t="shared" si="162"/>
        <v>0</v>
      </c>
      <c r="X205">
        <f t="shared" si="163"/>
        <v>778.18</v>
      </c>
      <c r="Y205">
        <f t="shared" si="163"/>
        <v>320.78</v>
      </c>
      <c r="AA205">
        <v>34388368</v>
      </c>
      <c r="AB205">
        <f t="shared" si="164"/>
        <v>529.23</v>
      </c>
      <c r="AC205">
        <f t="shared" si="165"/>
        <v>57.83</v>
      </c>
      <c r="AD205">
        <f t="shared" si="166"/>
        <v>419.23</v>
      </c>
      <c r="AE205">
        <f t="shared" si="167"/>
        <v>76.22</v>
      </c>
      <c r="AF205">
        <f t="shared" si="167"/>
        <v>52.17</v>
      </c>
      <c r="AG205">
        <f t="shared" si="168"/>
        <v>0</v>
      </c>
      <c r="AH205">
        <f t="shared" si="169"/>
        <v>4.29</v>
      </c>
      <c r="AI205">
        <f t="shared" si="169"/>
        <v>0</v>
      </c>
      <c r="AJ205">
        <f t="shared" si="170"/>
        <v>0</v>
      </c>
      <c r="AK205">
        <v>529.23</v>
      </c>
      <c r="AL205">
        <v>57.83</v>
      </c>
      <c r="AM205">
        <v>419.23</v>
      </c>
      <c r="AN205">
        <v>76.22</v>
      </c>
      <c r="AO205">
        <v>52.17</v>
      </c>
      <c r="AP205">
        <v>0</v>
      </c>
      <c r="AQ205">
        <v>4.29</v>
      </c>
      <c r="AR205">
        <v>0</v>
      </c>
      <c r="AS205">
        <v>0</v>
      </c>
      <c r="AT205">
        <v>131</v>
      </c>
      <c r="AU205">
        <v>54</v>
      </c>
      <c r="AV205">
        <v>1.047</v>
      </c>
      <c r="AW205">
        <v>1</v>
      </c>
      <c r="AZ205">
        <v>1</v>
      </c>
      <c r="BA205">
        <v>20.4</v>
      </c>
      <c r="BB205">
        <v>9.54</v>
      </c>
      <c r="BC205">
        <v>8.96</v>
      </c>
      <c r="BH205">
        <v>0</v>
      </c>
      <c r="BI205">
        <v>1</v>
      </c>
      <c r="BJ205" t="s">
        <v>255</v>
      </c>
      <c r="BM205">
        <v>158</v>
      </c>
      <c r="BN205">
        <v>0</v>
      </c>
      <c r="BO205" t="s">
        <v>253</v>
      </c>
      <c r="BP205">
        <v>1</v>
      </c>
      <c r="BQ205">
        <v>30</v>
      </c>
      <c r="BR205">
        <v>0</v>
      </c>
      <c r="BS205">
        <v>20.4</v>
      </c>
      <c r="BT205">
        <v>1</v>
      </c>
      <c r="BU205">
        <v>1</v>
      </c>
      <c r="BV205">
        <v>1</v>
      </c>
      <c r="BW205">
        <v>1</v>
      </c>
      <c r="BX205">
        <v>1</v>
      </c>
      <c r="BZ205">
        <v>131</v>
      </c>
      <c r="CA205">
        <v>54</v>
      </c>
      <c r="CF205">
        <v>0</v>
      </c>
      <c r="CG205">
        <v>0</v>
      </c>
      <c r="CM205">
        <v>0</v>
      </c>
      <c r="CO205">
        <v>0</v>
      </c>
      <c r="CP205">
        <f t="shared" si="171"/>
        <v>3102.58</v>
      </c>
      <c r="CQ205">
        <f t="shared" si="172"/>
        <v>518.1568000000001</v>
      </c>
      <c r="CR205">
        <f t="shared" si="173"/>
        <v>4187.428547399999</v>
      </c>
      <c r="CS205">
        <f t="shared" si="174"/>
        <v>1627.9677359999998</v>
      </c>
      <c r="CT205">
        <f t="shared" si="175"/>
        <v>1114.2885959999999</v>
      </c>
      <c r="CU205">
        <f t="shared" si="176"/>
        <v>0</v>
      </c>
      <c r="CV205">
        <f t="shared" si="177"/>
        <v>4.49163</v>
      </c>
      <c r="CW205">
        <f t="shared" si="178"/>
        <v>0</v>
      </c>
      <c r="CX205">
        <f t="shared" si="178"/>
        <v>0</v>
      </c>
      <c r="CY205">
        <f t="shared" si="179"/>
        <v>778.1793</v>
      </c>
      <c r="CZ205">
        <f t="shared" si="180"/>
        <v>320.7762</v>
      </c>
      <c r="DN205">
        <v>161</v>
      </c>
      <c r="DO205">
        <v>107</v>
      </c>
      <c r="DP205">
        <v>1.047</v>
      </c>
      <c r="DQ205">
        <v>1</v>
      </c>
      <c r="DU205">
        <v>1005</v>
      </c>
      <c r="DV205" t="s">
        <v>225</v>
      </c>
      <c r="DW205" t="s">
        <v>225</v>
      </c>
      <c r="DX205">
        <v>100</v>
      </c>
      <c r="EE205">
        <v>34317573</v>
      </c>
      <c r="EF205">
        <v>30</v>
      </c>
      <c r="EG205" t="s">
        <v>28</v>
      </c>
      <c r="EH205">
        <v>0</v>
      </c>
      <c r="EJ205">
        <v>1</v>
      </c>
      <c r="EK205">
        <v>158</v>
      </c>
      <c r="EL205" t="s">
        <v>256</v>
      </c>
      <c r="EM205" t="s">
        <v>257</v>
      </c>
      <c r="EQ205">
        <v>0</v>
      </c>
      <c r="ER205">
        <v>529.23</v>
      </c>
      <c r="ES205">
        <v>57.83</v>
      </c>
      <c r="ET205">
        <v>419.23</v>
      </c>
      <c r="EU205">
        <v>76.22</v>
      </c>
      <c r="EV205">
        <v>52.17</v>
      </c>
      <c r="EW205">
        <v>4.29</v>
      </c>
      <c r="EX205">
        <v>0</v>
      </c>
      <c r="EY205">
        <v>0</v>
      </c>
      <c r="FQ205">
        <v>0</v>
      </c>
      <c r="FR205">
        <f t="shared" si="181"/>
        <v>0</v>
      </c>
      <c r="FS205">
        <v>0</v>
      </c>
      <c r="FX205">
        <v>161</v>
      </c>
      <c r="FY205">
        <v>107</v>
      </c>
      <c r="GD205">
        <v>0</v>
      </c>
      <c r="GF205">
        <v>-740089871</v>
      </c>
      <c r="GG205">
        <v>2</v>
      </c>
      <c r="GH205">
        <v>1</v>
      </c>
      <c r="GI205">
        <v>2</v>
      </c>
      <c r="GJ205">
        <v>0</v>
      </c>
      <c r="GK205">
        <f>ROUND(R205*(R12)/100,2)</f>
        <v>1449.34</v>
      </c>
      <c r="GL205">
        <f t="shared" si="182"/>
        <v>0</v>
      </c>
      <c r="GM205">
        <f t="shared" si="183"/>
        <v>5650.88</v>
      </c>
      <c r="GN205">
        <f t="shared" si="184"/>
        <v>5650.88</v>
      </c>
      <c r="GO205">
        <f t="shared" si="185"/>
        <v>0</v>
      </c>
      <c r="GP205">
        <f t="shared" si="186"/>
        <v>0</v>
      </c>
      <c r="GT205">
        <v>0</v>
      </c>
      <c r="GU205">
        <v>1</v>
      </c>
      <c r="GV205">
        <v>0</v>
      </c>
      <c r="GW205">
        <v>0</v>
      </c>
      <c r="GX205">
        <f t="shared" si="187"/>
        <v>0</v>
      </c>
    </row>
    <row r="206" spans="1:206" ht="12.75">
      <c r="A206">
        <v>17</v>
      </c>
      <c r="B206">
        <v>1</v>
      </c>
      <c r="E206" t="s">
        <v>290</v>
      </c>
      <c r="F206" t="s">
        <v>272</v>
      </c>
      <c r="G206" t="s">
        <v>273</v>
      </c>
      <c r="H206" t="s">
        <v>265</v>
      </c>
      <c r="I206">
        <v>5.33</v>
      </c>
      <c r="J206">
        <v>0</v>
      </c>
      <c r="O206">
        <f t="shared" si="154"/>
        <v>13984.55</v>
      </c>
      <c r="P206">
        <f t="shared" si="155"/>
        <v>13984.55</v>
      </c>
      <c r="Q206">
        <f t="shared" si="156"/>
        <v>0</v>
      </c>
      <c r="R206">
        <f t="shared" si="157"/>
        <v>0</v>
      </c>
      <c r="S206">
        <f t="shared" si="158"/>
        <v>0</v>
      </c>
      <c r="T206">
        <f t="shared" si="159"/>
        <v>0</v>
      </c>
      <c r="U206">
        <f t="shared" si="160"/>
        <v>0</v>
      </c>
      <c r="V206">
        <f t="shared" si="161"/>
        <v>0</v>
      </c>
      <c r="W206">
        <f t="shared" si="162"/>
        <v>0</v>
      </c>
      <c r="X206">
        <f t="shared" si="163"/>
        <v>0</v>
      </c>
      <c r="Y206">
        <f t="shared" si="163"/>
        <v>0</v>
      </c>
      <c r="AA206">
        <v>34388368</v>
      </c>
      <c r="AB206">
        <f t="shared" si="164"/>
        <v>307.59</v>
      </c>
      <c r="AC206">
        <f t="shared" si="165"/>
        <v>307.59</v>
      </c>
      <c r="AD206">
        <f t="shared" si="166"/>
        <v>0</v>
      </c>
      <c r="AE206">
        <f t="shared" si="167"/>
        <v>0</v>
      </c>
      <c r="AF206">
        <f t="shared" si="167"/>
        <v>0</v>
      </c>
      <c r="AG206">
        <f t="shared" si="168"/>
        <v>0</v>
      </c>
      <c r="AH206">
        <f t="shared" si="169"/>
        <v>0</v>
      </c>
      <c r="AI206">
        <f t="shared" si="169"/>
        <v>0</v>
      </c>
      <c r="AJ206">
        <f t="shared" si="170"/>
        <v>0</v>
      </c>
      <c r="AK206">
        <v>307.59</v>
      </c>
      <c r="AL206">
        <v>307.59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1</v>
      </c>
      <c r="AW206">
        <v>1</v>
      </c>
      <c r="AZ206">
        <v>1</v>
      </c>
      <c r="BA206">
        <v>1</v>
      </c>
      <c r="BB206">
        <v>1</v>
      </c>
      <c r="BC206">
        <v>8.53</v>
      </c>
      <c r="BH206">
        <v>3</v>
      </c>
      <c r="BI206">
        <v>1</v>
      </c>
      <c r="BJ206" t="s">
        <v>274</v>
      </c>
      <c r="BM206">
        <v>158</v>
      </c>
      <c r="BN206">
        <v>0</v>
      </c>
      <c r="BO206" t="s">
        <v>272</v>
      </c>
      <c r="BP206">
        <v>1</v>
      </c>
      <c r="BQ206">
        <v>30</v>
      </c>
      <c r="BR206">
        <v>0</v>
      </c>
      <c r="BS206">
        <v>1</v>
      </c>
      <c r="BT206">
        <v>1</v>
      </c>
      <c r="BU206">
        <v>1</v>
      </c>
      <c r="BV206">
        <v>1</v>
      </c>
      <c r="BW206">
        <v>1</v>
      </c>
      <c r="BX206">
        <v>1</v>
      </c>
      <c r="BZ206">
        <v>0</v>
      </c>
      <c r="CA206">
        <v>0</v>
      </c>
      <c r="CF206">
        <v>0</v>
      </c>
      <c r="CG206">
        <v>0</v>
      </c>
      <c r="CM206">
        <v>0</v>
      </c>
      <c r="CO206">
        <v>0</v>
      </c>
      <c r="CP206">
        <f t="shared" si="171"/>
        <v>13984.55</v>
      </c>
      <c r="CQ206">
        <f t="shared" si="172"/>
        <v>2623.7427</v>
      </c>
      <c r="CR206">
        <f t="shared" si="173"/>
        <v>0</v>
      </c>
      <c r="CS206">
        <f t="shared" si="174"/>
        <v>0</v>
      </c>
      <c r="CT206">
        <f t="shared" si="175"/>
        <v>0</v>
      </c>
      <c r="CU206">
        <f t="shared" si="176"/>
        <v>0</v>
      </c>
      <c r="CV206">
        <f t="shared" si="177"/>
        <v>0</v>
      </c>
      <c r="CW206">
        <f t="shared" si="178"/>
        <v>0</v>
      </c>
      <c r="CX206">
        <f t="shared" si="178"/>
        <v>0</v>
      </c>
      <c r="CY206">
        <f t="shared" si="179"/>
        <v>0</v>
      </c>
      <c r="CZ206">
        <f t="shared" si="180"/>
        <v>0</v>
      </c>
      <c r="DN206">
        <v>161</v>
      </c>
      <c r="DO206">
        <v>107</v>
      </c>
      <c r="DP206">
        <v>1.047</v>
      </c>
      <c r="DQ206">
        <v>1</v>
      </c>
      <c r="DU206">
        <v>1009</v>
      </c>
      <c r="DV206" t="s">
        <v>265</v>
      </c>
      <c r="DW206" t="s">
        <v>265</v>
      </c>
      <c r="DX206">
        <v>1000</v>
      </c>
      <c r="EE206">
        <v>34317573</v>
      </c>
      <c r="EF206">
        <v>30</v>
      </c>
      <c r="EG206" t="s">
        <v>28</v>
      </c>
      <c r="EH206">
        <v>0</v>
      </c>
      <c r="EJ206">
        <v>1</v>
      </c>
      <c r="EK206">
        <v>158</v>
      </c>
      <c r="EL206" t="s">
        <v>256</v>
      </c>
      <c r="EM206" t="s">
        <v>257</v>
      </c>
      <c r="EQ206">
        <v>0</v>
      </c>
      <c r="ER206">
        <v>307.59</v>
      </c>
      <c r="ES206">
        <v>307.59</v>
      </c>
      <c r="ET206">
        <v>0</v>
      </c>
      <c r="EU206">
        <v>0</v>
      </c>
      <c r="EV206">
        <v>0</v>
      </c>
      <c r="EW206">
        <v>0</v>
      </c>
      <c r="EX206">
        <v>0</v>
      </c>
      <c r="EY206">
        <v>0</v>
      </c>
      <c r="FQ206">
        <v>0</v>
      </c>
      <c r="FR206">
        <f t="shared" si="181"/>
        <v>0</v>
      </c>
      <c r="FS206">
        <v>0</v>
      </c>
      <c r="FX206">
        <v>161</v>
      </c>
      <c r="FY206">
        <v>107</v>
      </c>
      <c r="GD206">
        <v>0</v>
      </c>
      <c r="GF206">
        <v>-1944262901</v>
      </c>
      <c r="GG206">
        <v>2</v>
      </c>
      <c r="GH206">
        <v>1</v>
      </c>
      <c r="GI206">
        <v>2</v>
      </c>
      <c r="GJ206">
        <v>0</v>
      </c>
      <c r="GK206">
        <f>ROUND(R206*(R12)/100,2)</f>
        <v>0</v>
      </c>
      <c r="GL206">
        <f t="shared" si="182"/>
        <v>0</v>
      </c>
      <c r="GM206">
        <f t="shared" si="183"/>
        <v>13984.55</v>
      </c>
      <c r="GN206">
        <f t="shared" si="184"/>
        <v>13984.55</v>
      </c>
      <c r="GO206">
        <f t="shared" si="185"/>
        <v>0</v>
      </c>
      <c r="GP206">
        <f t="shared" si="186"/>
        <v>0</v>
      </c>
      <c r="GT206">
        <v>0</v>
      </c>
      <c r="GU206">
        <v>1</v>
      </c>
      <c r="GV206">
        <v>0</v>
      </c>
      <c r="GW206">
        <v>0</v>
      </c>
      <c r="GX206">
        <f t="shared" si="187"/>
        <v>0</v>
      </c>
    </row>
    <row r="208" spans="1:118" ht="12.75">
      <c r="A208" s="2">
        <v>51</v>
      </c>
      <c r="B208" s="2">
        <f>B195</f>
        <v>1</v>
      </c>
      <c r="C208" s="2">
        <f>A195</f>
        <v>5</v>
      </c>
      <c r="D208" s="2">
        <f>ROW(A195)</f>
        <v>195</v>
      </c>
      <c r="E208" s="2"/>
      <c r="F208" s="2" t="str">
        <f>IF(F195&lt;&gt;"",F195,"")</f>
        <v>Новый подраздел</v>
      </c>
      <c r="G208" s="2" t="str">
        <f>IF(G195&lt;&gt;"",G195,"")</f>
        <v>Восстановление а/б и ц/б покрытия в дороге</v>
      </c>
      <c r="H208" s="2"/>
      <c r="I208" s="2"/>
      <c r="J208" s="2"/>
      <c r="K208" s="2"/>
      <c r="L208" s="2"/>
      <c r="M208" s="2"/>
      <c r="N208" s="2"/>
      <c r="O208" s="2">
        <f aca="true" t="shared" si="188" ref="O208:T208">ROUND(AB208,2)</f>
        <v>51671.79</v>
      </c>
      <c r="P208" s="2">
        <f t="shared" si="188"/>
        <v>41682.58</v>
      </c>
      <c r="Q208" s="2">
        <f t="shared" si="188"/>
        <v>6427.99</v>
      </c>
      <c r="R208" s="2">
        <f t="shared" si="188"/>
        <v>2485.07</v>
      </c>
      <c r="S208" s="2">
        <f t="shared" si="188"/>
        <v>3561.22</v>
      </c>
      <c r="T208" s="2">
        <f t="shared" si="188"/>
        <v>0</v>
      </c>
      <c r="U208" s="2">
        <f>AH208</f>
        <v>15.091907163</v>
      </c>
      <c r="V208" s="2">
        <f>AI208</f>
        <v>0</v>
      </c>
      <c r="W208" s="2">
        <f>ROUND(AJ208,2)</f>
        <v>0</v>
      </c>
      <c r="X208" s="2">
        <f>ROUND(AK208,2)</f>
        <v>4665.2</v>
      </c>
      <c r="Y208" s="2">
        <f>ROUND(AL208,2)</f>
        <v>1923.06</v>
      </c>
      <c r="Z208" s="2"/>
      <c r="AA208" s="2"/>
      <c r="AB208" s="2">
        <f>ROUND(SUMIF(AA199:AA206,"=34388368",O199:O206),2)</f>
        <v>51671.79</v>
      </c>
      <c r="AC208" s="2">
        <f>ROUND(SUMIF(AA199:AA206,"=34388368",P199:P206),2)</f>
        <v>41682.58</v>
      </c>
      <c r="AD208" s="2">
        <f>ROUND(SUMIF(AA199:AA206,"=34388368",Q199:Q206),2)</f>
        <v>6427.99</v>
      </c>
      <c r="AE208" s="2">
        <f>ROUND(SUMIF(AA199:AA206,"=34388368",R199:R206),2)</f>
        <v>2485.07</v>
      </c>
      <c r="AF208" s="2">
        <f>ROUND(SUMIF(AA199:AA206,"=34388368",S199:S206),2)</f>
        <v>3561.22</v>
      </c>
      <c r="AG208" s="2">
        <f>ROUND(SUMIF(AA199:AA206,"=34388368",T199:T206),2)</f>
        <v>0</v>
      </c>
      <c r="AH208" s="2">
        <f>SUMIF(AA199:AA206,"=34388368",U199:U206)</f>
        <v>15.091907163</v>
      </c>
      <c r="AI208" s="2">
        <f>SUMIF(AA199:AA206,"=34388368",V199:V206)</f>
        <v>0</v>
      </c>
      <c r="AJ208" s="2">
        <f>ROUND(SUMIF(AA199:AA206,"=34388368",W199:W206),2)</f>
        <v>0</v>
      </c>
      <c r="AK208" s="2">
        <f>ROUND(SUMIF(AA199:AA206,"=34388368",X199:X206),2)</f>
        <v>4665.2</v>
      </c>
      <c r="AL208" s="2">
        <f>ROUND(SUMIF(AA199:AA206,"=34388368",Y199:Y206),2)</f>
        <v>1923.06</v>
      </c>
      <c r="AM208" s="2"/>
      <c r="AN208" s="2"/>
      <c r="AO208" s="2">
        <f aca="true" t="shared" si="189" ref="AO208:AZ208">ROUND(BB208,2)</f>
        <v>0</v>
      </c>
      <c r="AP208" s="2">
        <f t="shared" si="189"/>
        <v>0</v>
      </c>
      <c r="AQ208" s="2">
        <f t="shared" si="189"/>
        <v>0</v>
      </c>
      <c r="AR208" s="2">
        <f t="shared" si="189"/>
        <v>62410.12</v>
      </c>
      <c r="AS208" s="2">
        <f t="shared" si="189"/>
        <v>62410.12</v>
      </c>
      <c r="AT208" s="2">
        <f t="shared" si="189"/>
        <v>0</v>
      </c>
      <c r="AU208" s="2">
        <f t="shared" si="189"/>
        <v>0</v>
      </c>
      <c r="AV208" s="2">
        <f t="shared" si="189"/>
        <v>41682.58</v>
      </c>
      <c r="AW208" s="2">
        <f t="shared" si="189"/>
        <v>41682.58</v>
      </c>
      <c r="AX208" s="2">
        <f t="shared" si="189"/>
        <v>0</v>
      </c>
      <c r="AY208" s="2">
        <f t="shared" si="189"/>
        <v>41682.58</v>
      </c>
      <c r="AZ208" s="2">
        <f t="shared" si="189"/>
        <v>0</v>
      </c>
      <c r="BA208" s="2"/>
      <c r="BB208" s="2">
        <f>ROUND(SUMIF(AA199:AA206,"=34388368",FQ199:FQ206),2)</f>
        <v>0</v>
      </c>
      <c r="BC208" s="2">
        <f>ROUND(SUMIF(AA199:AA206,"=34388368",FR199:FR206),2)</f>
        <v>0</v>
      </c>
      <c r="BD208" s="2">
        <f>ROUND(SUMIF(AA199:AA206,"=34388368",GL199:GL206),2)</f>
        <v>0</v>
      </c>
      <c r="BE208" s="2">
        <f>ROUND(SUMIF(AA199:AA206,"=34388368",GM199:GM206),2)</f>
        <v>62410.12</v>
      </c>
      <c r="BF208" s="2">
        <f>ROUND(SUMIF(AA199:AA206,"=34388368",GN199:GN206),2)</f>
        <v>62410.12</v>
      </c>
      <c r="BG208" s="2">
        <f>ROUND(SUMIF(AA199:AA206,"=34388368",GO199:GO206),2)</f>
        <v>0</v>
      </c>
      <c r="BH208" s="2">
        <f>ROUND(SUMIF(AA199:AA206,"=34388368",GP199:GP206),2)</f>
        <v>0</v>
      </c>
      <c r="BI208" s="2">
        <f>AC208-BB208</f>
        <v>41682.58</v>
      </c>
      <c r="BJ208" s="2">
        <f>AC208-BC208</f>
        <v>41682.58</v>
      </c>
      <c r="BK208" s="2">
        <f>BB208-BD208</f>
        <v>0</v>
      </c>
      <c r="BL208" s="2">
        <f>AC208-BB208-BC208+BD208</f>
        <v>41682.58</v>
      </c>
      <c r="BM208" s="2">
        <f>BC208-BD208</f>
        <v>0</v>
      </c>
      <c r="BN208" s="2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>
        <v>0</v>
      </c>
    </row>
    <row r="210" spans="1:16" ht="12.75">
      <c r="A210" s="4">
        <v>50</v>
      </c>
      <c r="B210" s="4">
        <v>0</v>
      </c>
      <c r="C210" s="4">
        <v>0</v>
      </c>
      <c r="D210" s="4">
        <v>1</v>
      </c>
      <c r="E210" s="4">
        <v>201</v>
      </c>
      <c r="F210" s="4">
        <f>ROUND(Source!O208,O210)</f>
        <v>51671.79</v>
      </c>
      <c r="G210" s="4" t="s">
        <v>97</v>
      </c>
      <c r="H210" s="4" t="s">
        <v>98</v>
      </c>
      <c r="I210" s="4"/>
      <c r="J210" s="4"/>
      <c r="K210" s="4">
        <v>201</v>
      </c>
      <c r="L210" s="4">
        <v>1</v>
      </c>
      <c r="M210" s="4">
        <v>3</v>
      </c>
      <c r="N210" s="4" t="s">
        <v>6</v>
      </c>
      <c r="O210" s="4">
        <v>2</v>
      </c>
      <c r="P210" s="4"/>
    </row>
    <row r="211" spans="1:16" ht="12.75">
      <c r="A211" s="4">
        <v>50</v>
      </c>
      <c r="B211" s="4">
        <v>0</v>
      </c>
      <c r="C211" s="4">
        <v>0</v>
      </c>
      <c r="D211" s="4">
        <v>1</v>
      </c>
      <c r="E211" s="4">
        <v>202</v>
      </c>
      <c r="F211" s="4">
        <f>ROUND(Source!P208,O211)</f>
        <v>41682.58</v>
      </c>
      <c r="G211" s="4" t="s">
        <v>99</v>
      </c>
      <c r="H211" s="4" t="s">
        <v>100</v>
      </c>
      <c r="I211" s="4"/>
      <c r="J211" s="4"/>
      <c r="K211" s="4">
        <v>202</v>
      </c>
      <c r="L211" s="4">
        <v>2</v>
      </c>
      <c r="M211" s="4">
        <v>3</v>
      </c>
      <c r="N211" s="4" t="s">
        <v>6</v>
      </c>
      <c r="O211" s="4">
        <v>2</v>
      </c>
      <c r="P211" s="4"/>
    </row>
    <row r="212" spans="1:16" ht="12.75">
      <c r="A212" s="4">
        <v>50</v>
      </c>
      <c r="B212" s="4">
        <v>0</v>
      </c>
      <c r="C212" s="4">
        <v>0</v>
      </c>
      <c r="D212" s="4">
        <v>1</v>
      </c>
      <c r="E212" s="4">
        <v>222</v>
      </c>
      <c r="F212" s="4">
        <f>ROUND(Source!AO208,O212)</f>
        <v>0</v>
      </c>
      <c r="G212" s="4" t="s">
        <v>101</v>
      </c>
      <c r="H212" s="4" t="s">
        <v>102</v>
      </c>
      <c r="I212" s="4"/>
      <c r="J212" s="4"/>
      <c r="K212" s="4">
        <v>222</v>
      </c>
      <c r="L212" s="4">
        <v>3</v>
      </c>
      <c r="M212" s="4">
        <v>3</v>
      </c>
      <c r="N212" s="4" t="s">
        <v>6</v>
      </c>
      <c r="O212" s="4">
        <v>2</v>
      </c>
      <c r="P212" s="4"/>
    </row>
    <row r="213" spans="1:16" ht="12.75">
      <c r="A213" s="4">
        <v>50</v>
      </c>
      <c r="B213" s="4">
        <v>0</v>
      </c>
      <c r="C213" s="4">
        <v>0</v>
      </c>
      <c r="D213" s="4">
        <v>1</v>
      </c>
      <c r="E213" s="4">
        <v>225</v>
      </c>
      <c r="F213" s="4">
        <f>ROUND(Source!AV208,O213)</f>
        <v>41682.58</v>
      </c>
      <c r="G213" s="4" t="s">
        <v>103</v>
      </c>
      <c r="H213" s="4" t="s">
        <v>104</v>
      </c>
      <c r="I213" s="4"/>
      <c r="J213" s="4"/>
      <c r="K213" s="4">
        <v>225</v>
      </c>
      <c r="L213" s="4">
        <v>4</v>
      </c>
      <c r="M213" s="4">
        <v>3</v>
      </c>
      <c r="N213" s="4" t="s">
        <v>6</v>
      </c>
      <c r="O213" s="4">
        <v>2</v>
      </c>
      <c r="P213" s="4"/>
    </row>
    <row r="214" spans="1:16" ht="12.75">
      <c r="A214" s="4">
        <v>50</v>
      </c>
      <c r="B214" s="4">
        <v>0</v>
      </c>
      <c r="C214" s="4">
        <v>0</v>
      </c>
      <c r="D214" s="4">
        <v>1</v>
      </c>
      <c r="E214" s="4">
        <v>226</v>
      </c>
      <c r="F214" s="4">
        <f>ROUND(Source!AW208,O214)</f>
        <v>41682.58</v>
      </c>
      <c r="G214" s="4" t="s">
        <v>105</v>
      </c>
      <c r="H214" s="4" t="s">
        <v>106</v>
      </c>
      <c r="I214" s="4"/>
      <c r="J214" s="4"/>
      <c r="K214" s="4">
        <v>226</v>
      </c>
      <c r="L214" s="4">
        <v>5</v>
      </c>
      <c r="M214" s="4">
        <v>3</v>
      </c>
      <c r="N214" s="4" t="s">
        <v>6</v>
      </c>
      <c r="O214" s="4">
        <v>2</v>
      </c>
      <c r="P214" s="4"/>
    </row>
    <row r="215" spans="1:16" ht="12.75">
      <c r="A215" s="4">
        <v>50</v>
      </c>
      <c r="B215" s="4">
        <v>0</v>
      </c>
      <c r="C215" s="4">
        <v>0</v>
      </c>
      <c r="D215" s="4">
        <v>1</v>
      </c>
      <c r="E215" s="4">
        <v>227</v>
      </c>
      <c r="F215" s="4">
        <f>ROUND(Source!AX208,O215)</f>
        <v>0</v>
      </c>
      <c r="G215" s="4" t="s">
        <v>107</v>
      </c>
      <c r="H215" s="4" t="s">
        <v>108</v>
      </c>
      <c r="I215" s="4"/>
      <c r="J215" s="4"/>
      <c r="K215" s="4">
        <v>227</v>
      </c>
      <c r="L215" s="4">
        <v>6</v>
      </c>
      <c r="M215" s="4">
        <v>3</v>
      </c>
      <c r="N215" s="4" t="s">
        <v>6</v>
      </c>
      <c r="O215" s="4">
        <v>2</v>
      </c>
      <c r="P215" s="4"/>
    </row>
    <row r="216" spans="1:16" ht="12.75">
      <c r="A216" s="4">
        <v>50</v>
      </c>
      <c r="B216" s="4">
        <v>0</v>
      </c>
      <c r="C216" s="4">
        <v>0</v>
      </c>
      <c r="D216" s="4">
        <v>1</v>
      </c>
      <c r="E216" s="4">
        <v>228</v>
      </c>
      <c r="F216" s="4">
        <f>ROUND(Source!AY208,O216)</f>
        <v>41682.58</v>
      </c>
      <c r="G216" s="4" t="s">
        <v>109</v>
      </c>
      <c r="H216" s="4" t="s">
        <v>110</v>
      </c>
      <c r="I216" s="4"/>
      <c r="J216" s="4"/>
      <c r="K216" s="4">
        <v>228</v>
      </c>
      <c r="L216" s="4">
        <v>7</v>
      </c>
      <c r="M216" s="4">
        <v>3</v>
      </c>
      <c r="N216" s="4" t="s">
        <v>6</v>
      </c>
      <c r="O216" s="4">
        <v>2</v>
      </c>
      <c r="P216" s="4"/>
    </row>
    <row r="217" spans="1:16" ht="12.75">
      <c r="A217" s="4">
        <v>50</v>
      </c>
      <c r="B217" s="4">
        <v>0</v>
      </c>
      <c r="C217" s="4">
        <v>0</v>
      </c>
      <c r="D217" s="4">
        <v>1</v>
      </c>
      <c r="E217" s="4">
        <v>216</v>
      </c>
      <c r="F217" s="4">
        <f>ROUND(Source!AP208,O217)</f>
        <v>0</v>
      </c>
      <c r="G217" s="4" t="s">
        <v>111</v>
      </c>
      <c r="H217" s="4" t="s">
        <v>112</v>
      </c>
      <c r="I217" s="4"/>
      <c r="J217" s="4"/>
      <c r="K217" s="4">
        <v>216</v>
      </c>
      <c r="L217" s="4">
        <v>8</v>
      </c>
      <c r="M217" s="4">
        <v>3</v>
      </c>
      <c r="N217" s="4" t="s">
        <v>6</v>
      </c>
      <c r="O217" s="4">
        <v>2</v>
      </c>
      <c r="P217" s="4"/>
    </row>
    <row r="218" spans="1:16" ht="12.75">
      <c r="A218" s="4">
        <v>50</v>
      </c>
      <c r="B218" s="4">
        <v>0</v>
      </c>
      <c r="C218" s="4">
        <v>0</v>
      </c>
      <c r="D218" s="4">
        <v>1</v>
      </c>
      <c r="E218" s="4">
        <v>223</v>
      </c>
      <c r="F218" s="4">
        <f>ROUND(Source!AQ208,O218)</f>
        <v>0</v>
      </c>
      <c r="G218" s="4" t="s">
        <v>113</v>
      </c>
      <c r="H218" s="4" t="s">
        <v>114</v>
      </c>
      <c r="I218" s="4"/>
      <c r="J218" s="4"/>
      <c r="K218" s="4">
        <v>223</v>
      </c>
      <c r="L218" s="4">
        <v>9</v>
      </c>
      <c r="M218" s="4">
        <v>3</v>
      </c>
      <c r="N218" s="4" t="s">
        <v>6</v>
      </c>
      <c r="O218" s="4">
        <v>2</v>
      </c>
      <c r="P218" s="4"/>
    </row>
    <row r="219" spans="1:16" ht="12.75">
      <c r="A219" s="4">
        <v>50</v>
      </c>
      <c r="B219" s="4">
        <v>0</v>
      </c>
      <c r="C219" s="4">
        <v>0</v>
      </c>
      <c r="D219" s="4">
        <v>1</v>
      </c>
      <c r="E219" s="4">
        <v>229</v>
      </c>
      <c r="F219" s="4">
        <f>ROUND(Source!AZ208,O219)</f>
        <v>0</v>
      </c>
      <c r="G219" s="4" t="s">
        <v>115</v>
      </c>
      <c r="H219" s="4" t="s">
        <v>116</v>
      </c>
      <c r="I219" s="4"/>
      <c r="J219" s="4"/>
      <c r="K219" s="4">
        <v>229</v>
      </c>
      <c r="L219" s="4">
        <v>10</v>
      </c>
      <c r="M219" s="4">
        <v>3</v>
      </c>
      <c r="N219" s="4" t="s">
        <v>6</v>
      </c>
      <c r="O219" s="4">
        <v>2</v>
      </c>
      <c r="P219" s="4"/>
    </row>
    <row r="220" spans="1:16" ht="12.75">
      <c r="A220" s="4">
        <v>50</v>
      </c>
      <c r="B220" s="4">
        <v>0</v>
      </c>
      <c r="C220" s="4">
        <v>0</v>
      </c>
      <c r="D220" s="4">
        <v>1</v>
      </c>
      <c r="E220" s="4">
        <v>203</v>
      </c>
      <c r="F220" s="4">
        <f>ROUND(Source!Q208,O220)</f>
        <v>6427.99</v>
      </c>
      <c r="G220" s="4" t="s">
        <v>117</v>
      </c>
      <c r="H220" s="4" t="s">
        <v>118</v>
      </c>
      <c r="I220" s="4"/>
      <c r="J220" s="4"/>
      <c r="K220" s="4">
        <v>203</v>
      </c>
      <c r="L220" s="4">
        <v>11</v>
      </c>
      <c r="M220" s="4">
        <v>3</v>
      </c>
      <c r="N220" s="4" t="s">
        <v>6</v>
      </c>
      <c r="O220" s="4">
        <v>2</v>
      </c>
      <c r="P220" s="4"/>
    </row>
    <row r="221" spans="1:16" ht="12.75">
      <c r="A221" s="4">
        <v>50</v>
      </c>
      <c r="B221" s="4">
        <v>0</v>
      </c>
      <c r="C221" s="4">
        <v>0</v>
      </c>
      <c r="D221" s="4">
        <v>1</v>
      </c>
      <c r="E221" s="4">
        <v>204</v>
      </c>
      <c r="F221" s="4">
        <f>ROUND(Source!R208,O221)</f>
        <v>2485.07</v>
      </c>
      <c r="G221" s="4" t="s">
        <v>119</v>
      </c>
      <c r="H221" s="4" t="s">
        <v>120</v>
      </c>
      <c r="I221" s="4"/>
      <c r="J221" s="4"/>
      <c r="K221" s="4">
        <v>204</v>
      </c>
      <c r="L221" s="4">
        <v>12</v>
      </c>
      <c r="M221" s="4">
        <v>3</v>
      </c>
      <c r="N221" s="4" t="s">
        <v>6</v>
      </c>
      <c r="O221" s="4">
        <v>2</v>
      </c>
      <c r="P221" s="4"/>
    </row>
    <row r="222" spans="1:16" ht="12.75">
      <c r="A222" s="4">
        <v>50</v>
      </c>
      <c r="B222" s="4">
        <v>0</v>
      </c>
      <c r="C222" s="4">
        <v>0</v>
      </c>
      <c r="D222" s="4">
        <v>1</v>
      </c>
      <c r="E222" s="4">
        <v>205</v>
      </c>
      <c r="F222" s="4">
        <f>ROUND(Source!S208,O222)</f>
        <v>3561.22</v>
      </c>
      <c r="G222" s="4" t="s">
        <v>121</v>
      </c>
      <c r="H222" s="4" t="s">
        <v>122</v>
      </c>
      <c r="I222" s="4"/>
      <c r="J222" s="4"/>
      <c r="K222" s="4">
        <v>205</v>
      </c>
      <c r="L222" s="4">
        <v>13</v>
      </c>
      <c r="M222" s="4">
        <v>3</v>
      </c>
      <c r="N222" s="4" t="s">
        <v>6</v>
      </c>
      <c r="O222" s="4">
        <v>2</v>
      </c>
      <c r="P222" s="4"/>
    </row>
    <row r="223" spans="1:16" ht="12.75">
      <c r="A223" s="4">
        <v>50</v>
      </c>
      <c r="B223" s="4">
        <v>0</v>
      </c>
      <c r="C223" s="4">
        <v>0</v>
      </c>
      <c r="D223" s="4">
        <v>1</v>
      </c>
      <c r="E223" s="4">
        <v>214</v>
      </c>
      <c r="F223" s="4">
        <f>ROUND(Source!AS208,O223)</f>
        <v>62410.12</v>
      </c>
      <c r="G223" s="4" t="s">
        <v>123</v>
      </c>
      <c r="H223" s="4" t="s">
        <v>124</v>
      </c>
      <c r="I223" s="4"/>
      <c r="J223" s="4"/>
      <c r="K223" s="4">
        <v>214</v>
      </c>
      <c r="L223" s="4">
        <v>14</v>
      </c>
      <c r="M223" s="4">
        <v>3</v>
      </c>
      <c r="N223" s="4" t="s">
        <v>6</v>
      </c>
      <c r="O223" s="4">
        <v>2</v>
      </c>
      <c r="P223" s="4"/>
    </row>
    <row r="224" spans="1:16" ht="12.75">
      <c r="A224" s="4">
        <v>50</v>
      </c>
      <c r="B224" s="4">
        <v>0</v>
      </c>
      <c r="C224" s="4">
        <v>0</v>
      </c>
      <c r="D224" s="4">
        <v>1</v>
      </c>
      <c r="E224" s="4">
        <v>215</v>
      </c>
      <c r="F224" s="4">
        <f>ROUND(Source!AT208,O224)</f>
        <v>0</v>
      </c>
      <c r="G224" s="4" t="s">
        <v>125</v>
      </c>
      <c r="H224" s="4" t="s">
        <v>126</v>
      </c>
      <c r="I224" s="4"/>
      <c r="J224" s="4"/>
      <c r="K224" s="4">
        <v>215</v>
      </c>
      <c r="L224" s="4">
        <v>15</v>
      </c>
      <c r="M224" s="4">
        <v>3</v>
      </c>
      <c r="N224" s="4" t="s">
        <v>6</v>
      </c>
      <c r="O224" s="4">
        <v>2</v>
      </c>
      <c r="P224" s="4"/>
    </row>
    <row r="225" spans="1:16" ht="12.75">
      <c r="A225" s="4">
        <v>50</v>
      </c>
      <c r="B225" s="4">
        <v>0</v>
      </c>
      <c r="C225" s="4">
        <v>0</v>
      </c>
      <c r="D225" s="4">
        <v>1</v>
      </c>
      <c r="E225" s="4">
        <v>217</v>
      </c>
      <c r="F225" s="4">
        <f>ROUND(Source!AU208,O225)</f>
        <v>0</v>
      </c>
      <c r="G225" s="4" t="s">
        <v>127</v>
      </c>
      <c r="H225" s="4" t="s">
        <v>128</v>
      </c>
      <c r="I225" s="4"/>
      <c r="J225" s="4"/>
      <c r="K225" s="4">
        <v>217</v>
      </c>
      <c r="L225" s="4">
        <v>16</v>
      </c>
      <c r="M225" s="4">
        <v>3</v>
      </c>
      <c r="N225" s="4" t="s">
        <v>6</v>
      </c>
      <c r="O225" s="4">
        <v>2</v>
      </c>
      <c r="P225" s="4"/>
    </row>
    <row r="226" spans="1:16" ht="12.75">
      <c r="A226" s="4">
        <v>50</v>
      </c>
      <c r="B226" s="4">
        <v>0</v>
      </c>
      <c r="C226" s="4">
        <v>0</v>
      </c>
      <c r="D226" s="4">
        <v>1</v>
      </c>
      <c r="E226" s="4">
        <v>206</v>
      </c>
      <c r="F226" s="4">
        <f>ROUND(Source!T208,O226)</f>
        <v>0</v>
      </c>
      <c r="G226" s="4" t="s">
        <v>129</v>
      </c>
      <c r="H226" s="4" t="s">
        <v>130</v>
      </c>
      <c r="I226" s="4"/>
      <c r="J226" s="4"/>
      <c r="K226" s="4">
        <v>206</v>
      </c>
      <c r="L226" s="4">
        <v>17</v>
      </c>
      <c r="M226" s="4">
        <v>3</v>
      </c>
      <c r="N226" s="4" t="s">
        <v>6</v>
      </c>
      <c r="O226" s="4">
        <v>2</v>
      </c>
      <c r="P226" s="4"/>
    </row>
    <row r="227" spans="1:16" ht="12.75">
      <c r="A227" s="4">
        <v>50</v>
      </c>
      <c r="B227" s="4">
        <v>0</v>
      </c>
      <c r="C227" s="4">
        <v>0</v>
      </c>
      <c r="D227" s="4">
        <v>1</v>
      </c>
      <c r="E227" s="4">
        <v>207</v>
      </c>
      <c r="F227" s="4">
        <f>Source!U208</f>
        <v>15.091907163</v>
      </c>
      <c r="G227" s="4" t="s">
        <v>131</v>
      </c>
      <c r="H227" s="4" t="s">
        <v>132</v>
      </c>
      <c r="I227" s="4"/>
      <c r="J227" s="4"/>
      <c r="K227" s="4">
        <v>207</v>
      </c>
      <c r="L227" s="4">
        <v>18</v>
      </c>
      <c r="M227" s="4">
        <v>3</v>
      </c>
      <c r="N227" s="4" t="s">
        <v>6</v>
      </c>
      <c r="O227" s="4">
        <v>-1</v>
      </c>
      <c r="P227" s="4"/>
    </row>
    <row r="228" spans="1:16" ht="12.75">
      <c r="A228" s="4">
        <v>50</v>
      </c>
      <c r="B228" s="4">
        <v>0</v>
      </c>
      <c r="C228" s="4">
        <v>0</v>
      </c>
      <c r="D228" s="4">
        <v>1</v>
      </c>
      <c r="E228" s="4">
        <v>208</v>
      </c>
      <c r="F228" s="4">
        <f>Source!V208</f>
        <v>0</v>
      </c>
      <c r="G228" s="4" t="s">
        <v>133</v>
      </c>
      <c r="H228" s="4" t="s">
        <v>134</v>
      </c>
      <c r="I228" s="4"/>
      <c r="J228" s="4"/>
      <c r="K228" s="4">
        <v>208</v>
      </c>
      <c r="L228" s="4">
        <v>19</v>
      </c>
      <c r="M228" s="4">
        <v>3</v>
      </c>
      <c r="N228" s="4" t="s">
        <v>6</v>
      </c>
      <c r="O228" s="4">
        <v>-1</v>
      </c>
      <c r="P228" s="4"/>
    </row>
    <row r="229" spans="1:16" ht="12.75">
      <c r="A229" s="4">
        <v>50</v>
      </c>
      <c r="B229" s="4">
        <v>0</v>
      </c>
      <c r="C229" s="4">
        <v>0</v>
      </c>
      <c r="D229" s="4">
        <v>1</v>
      </c>
      <c r="E229" s="4">
        <v>209</v>
      </c>
      <c r="F229" s="4">
        <f>ROUND(Source!W208,O229)</f>
        <v>0</v>
      </c>
      <c r="G229" s="4" t="s">
        <v>135</v>
      </c>
      <c r="H229" s="4" t="s">
        <v>136</v>
      </c>
      <c r="I229" s="4"/>
      <c r="J229" s="4"/>
      <c r="K229" s="4">
        <v>209</v>
      </c>
      <c r="L229" s="4">
        <v>20</v>
      </c>
      <c r="M229" s="4">
        <v>3</v>
      </c>
      <c r="N229" s="4" t="s">
        <v>6</v>
      </c>
      <c r="O229" s="4">
        <v>2</v>
      </c>
      <c r="P229" s="4"/>
    </row>
    <row r="230" spans="1:16" ht="12.75">
      <c r="A230" s="4">
        <v>50</v>
      </c>
      <c r="B230" s="4">
        <v>0</v>
      </c>
      <c r="C230" s="4">
        <v>0</v>
      </c>
      <c r="D230" s="4">
        <v>1</v>
      </c>
      <c r="E230" s="4">
        <v>210</v>
      </c>
      <c r="F230" s="4">
        <f>ROUND(Source!X208,O230)</f>
        <v>4665.2</v>
      </c>
      <c r="G230" s="4" t="s">
        <v>137</v>
      </c>
      <c r="H230" s="4" t="s">
        <v>138</v>
      </c>
      <c r="I230" s="4"/>
      <c r="J230" s="4"/>
      <c r="K230" s="4">
        <v>210</v>
      </c>
      <c r="L230" s="4">
        <v>21</v>
      </c>
      <c r="M230" s="4">
        <v>3</v>
      </c>
      <c r="N230" s="4" t="s">
        <v>6</v>
      </c>
      <c r="O230" s="4">
        <v>2</v>
      </c>
      <c r="P230" s="4"/>
    </row>
    <row r="231" spans="1:16" ht="12.75">
      <c r="A231" s="4">
        <v>50</v>
      </c>
      <c r="B231" s="4">
        <v>0</v>
      </c>
      <c r="C231" s="4">
        <v>0</v>
      </c>
      <c r="D231" s="4">
        <v>1</v>
      </c>
      <c r="E231" s="4">
        <v>211</v>
      </c>
      <c r="F231" s="4">
        <f>ROUND(Source!Y208,O231)</f>
        <v>1923.06</v>
      </c>
      <c r="G231" s="4" t="s">
        <v>139</v>
      </c>
      <c r="H231" s="4" t="s">
        <v>140</v>
      </c>
      <c r="I231" s="4"/>
      <c r="J231" s="4"/>
      <c r="K231" s="4">
        <v>211</v>
      </c>
      <c r="L231" s="4">
        <v>22</v>
      </c>
      <c r="M231" s="4">
        <v>3</v>
      </c>
      <c r="N231" s="4" t="s">
        <v>6</v>
      </c>
      <c r="O231" s="4">
        <v>2</v>
      </c>
      <c r="P231" s="4"/>
    </row>
    <row r="232" spans="1:16" ht="12.75">
      <c r="A232" s="4">
        <v>50</v>
      </c>
      <c r="B232" s="4">
        <v>0</v>
      </c>
      <c r="C232" s="4">
        <v>0</v>
      </c>
      <c r="D232" s="4">
        <v>1</v>
      </c>
      <c r="E232" s="4">
        <v>224</v>
      </c>
      <c r="F232" s="4">
        <f>ROUND(Source!AR208,O232)</f>
        <v>62410.12</v>
      </c>
      <c r="G232" s="4" t="s">
        <v>141</v>
      </c>
      <c r="H232" s="4" t="s">
        <v>142</v>
      </c>
      <c r="I232" s="4"/>
      <c r="J232" s="4"/>
      <c r="K232" s="4">
        <v>224</v>
      </c>
      <c r="L232" s="4">
        <v>23</v>
      </c>
      <c r="M232" s="4">
        <v>3</v>
      </c>
      <c r="N232" s="4" t="s">
        <v>6</v>
      </c>
      <c r="O232" s="4">
        <v>2</v>
      </c>
      <c r="P232" s="4"/>
    </row>
    <row r="234" spans="1:88" ht="12.75">
      <c r="A234" s="1">
        <v>5</v>
      </c>
      <c r="B234" s="1">
        <v>1</v>
      </c>
      <c r="C234" s="1"/>
      <c r="D234" s="1">
        <f>ROW(A252)</f>
        <v>252</v>
      </c>
      <c r="E234" s="1"/>
      <c r="F234" s="1" t="s">
        <v>19</v>
      </c>
      <c r="G234" s="1" t="s">
        <v>291</v>
      </c>
      <c r="H234" s="1" t="s">
        <v>6</v>
      </c>
      <c r="I234" s="1">
        <v>0</v>
      </c>
      <c r="J234" s="1"/>
      <c r="K234" s="1">
        <v>0</v>
      </c>
      <c r="L234" s="1"/>
      <c r="M234" s="1"/>
      <c r="N234" s="1"/>
      <c r="O234" s="1"/>
      <c r="P234" s="1"/>
      <c r="Q234" s="1"/>
      <c r="R234" s="1"/>
      <c r="S234" s="1"/>
      <c r="T234" s="1"/>
      <c r="U234" s="1" t="s">
        <v>6</v>
      </c>
      <c r="V234" s="1">
        <v>0</v>
      </c>
      <c r="W234" s="1"/>
      <c r="X234" s="1"/>
      <c r="Y234" s="1"/>
      <c r="Z234" s="1"/>
      <c r="AA234" s="1"/>
      <c r="AB234" s="1" t="s">
        <v>6</v>
      </c>
      <c r="AC234" s="1" t="s">
        <v>6</v>
      </c>
      <c r="AD234" s="1" t="s">
        <v>6</v>
      </c>
      <c r="AE234" s="1" t="s">
        <v>6</v>
      </c>
      <c r="AF234" s="1" t="s">
        <v>6</v>
      </c>
      <c r="AG234" s="1" t="s">
        <v>6</v>
      </c>
      <c r="AH234" s="1"/>
      <c r="AI234" s="1"/>
      <c r="AJ234" s="1"/>
      <c r="AK234" s="1"/>
      <c r="AL234" s="1"/>
      <c r="AM234" s="1"/>
      <c r="AN234" s="1"/>
      <c r="AO234" s="1"/>
      <c r="AP234" s="1" t="s">
        <v>6</v>
      </c>
      <c r="AQ234" s="1" t="s">
        <v>6</v>
      </c>
      <c r="AR234" s="1" t="s">
        <v>6</v>
      </c>
      <c r="AS234" s="1"/>
      <c r="AT234" s="1"/>
      <c r="AU234" s="1"/>
      <c r="AV234" s="1"/>
      <c r="AW234" s="1"/>
      <c r="AX234" s="1"/>
      <c r="AY234" s="1"/>
      <c r="AZ234" s="1" t="s">
        <v>6</v>
      </c>
      <c r="BA234" s="1"/>
      <c r="BB234" s="1" t="s">
        <v>6</v>
      </c>
      <c r="BC234" s="1" t="s">
        <v>6</v>
      </c>
      <c r="BD234" s="1" t="s">
        <v>6</v>
      </c>
      <c r="BE234" s="1" t="s">
        <v>6</v>
      </c>
      <c r="BF234" s="1" t="s">
        <v>6</v>
      </c>
      <c r="BG234" s="1" t="s">
        <v>6</v>
      </c>
      <c r="BH234" s="1" t="s">
        <v>6</v>
      </c>
      <c r="BI234" s="1" t="s">
        <v>6</v>
      </c>
      <c r="BJ234" s="1" t="s">
        <v>6</v>
      </c>
      <c r="BK234" s="1" t="s">
        <v>6</v>
      </c>
      <c r="BL234" s="1" t="s">
        <v>6</v>
      </c>
      <c r="BM234" s="1" t="s">
        <v>6</v>
      </c>
      <c r="BN234" s="1" t="s">
        <v>6</v>
      </c>
      <c r="BO234" s="1" t="s">
        <v>6</v>
      </c>
      <c r="BP234" s="1" t="s">
        <v>6</v>
      </c>
      <c r="BQ234" s="1"/>
      <c r="BR234" s="1"/>
      <c r="BS234" s="1"/>
      <c r="BT234" s="1"/>
      <c r="BU234" s="1"/>
      <c r="BV234" s="1"/>
      <c r="BW234" s="1"/>
      <c r="BX234" s="1">
        <v>0</v>
      </c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>
        <v>0</v>
      </c>
    </row>
    <row r="236" spans="1:118" ht="12.75">
      <c r="A236" s="2">
        <v>52</v>
      </c>
      <c r="B236" s="2">
        <f aca="true" t="shared" si="190" ref="B236:G236">B252</f>
        <v>1</v>
      </c>
      <c r="C236" s="2">
        <f t="shared" si="190"/>
        <v>5</v>
      </c>
      <c r="D236" s="2">
        <f t="shared" si="190"/>
        <v>234</v>
      </c>
      <c r="E236" s="2">
        <f t="shared" si="190"/>
        <v>0</v>
      </c>
      <c r="F236" s="2" t="str">
        <f t="shared" si="190"/>
        <v>Новый подраздел</v>
      </c>
      <c r="G236" s="2" t="str">
        <f t="shared" si="190"/>
        <v>ГНБ</v>
      </c>
      <c r="H236" s="2"/>
      <c r="I236" s="2"/>
      <c r="J236" s="2"/>
      <c r="K236" s="2"/>
      <c r="L236" s="2"/>
      <c r="M236" s="2"/>
      <c r="N236" s="2"/>
      <c r="O236" s="2">
        <f aca="true" t="shared" si="191" ref="O236:AT236">O252</f>
        <v>15185315.38</v>
      </c>
      <c r="P236" s="2">
        <f t="shared" si="191"/>
        <v>7664113.49</v>
      </c>
      <c r="Q236" s="2">
        <f t="shared" si="191"/>
        <v>6853441.28</v>
      </c>
      <c r="R236" s="2">
        <f t="shared" si="191"/>
        <v>1942690.92</v>
      </c>
      <c r="S236" s="2">
        <f t="shared" si="191"/>
        <v>667760.61</v>
      </c>
      <c r="T236" s="2">
        <f t="shared" si="191"/>
        <v>0</v>
      </c>
      <c r="U236" s="2">
        <f t="shared" si="191"/>
        <v>2385.31787532</v>
      </c>
      <c r="V236" s="2">
        <f t="shared" si="191"/>
        <v>0</v>
      </c>
      <c r="W236" s="2">
        <f t="shared" si="191"/>
        <v>0</v>
      </c>
      <c r="X236" s="2">
        <f t="shared" si="191"/>
        <v>781713.49</v>
      </c>
      <c r="Y236" s="2">
        <f t="shared" si="191"/>
        <v>487709.03</v>
      </c>
      <c r="Z236" s="2">
        <f t="shared" si="191"/>
        <v>0</v>
      </c>
      <c r="AA236" s="2">
        <f t="shared" si="191"/>
        <v>0</v>
      </c>
      <c r="AB236" s="2">
        <f t="shared" si="191"/>
        <v>15185315.38</v>
      </c>
      <c r="AC236" s="2">
        <f t="shared" si="191"/>
        <v>7664113.49</v>
      </c>
      <c r="AD236" s="2">
        <f t="shared" si="191"/>
        <v>6853441.28</v>
      </c>
      <c r="AE236" s="2">
        <f t="shared" si="191"/>
        <v>1942690.92</v>
      </c>
      <c r="AF236" s="2">
        <f t="shared" si="191"/>
        <v>667760.61</v>
      </c>
      <c r="AG236" s="2">
        <f t="shared" si="191"/>
        <v>0</v>
      </c>
      <c r="AH236" s="2">
        <f t="shared" si="191"/>
        <v>2385.31787532</v>
      </c>
      <c r="AI236" s="2">
        <f t="shared" si="191"/>
        <v>0</v>
      </c>
      <c r="AJ236" s="2">
        <f t="shared" si="191"/>
        <v>0</v>
      </c>
      <c r="AK236" s="2">
        <f t="shared" si="191"/>
        <v>781713.49</v>
      </c>
      <c r="AL236" s="2">
        <f t="shared" si="191"/>
        <v>487709.03</v>
      </c>
      <c r="AM236" s="2">
        <f t="shared" si="191"/>
        <v>0</v>
      </c>
      <c r="AN236" s="2">
        <f t="shared" si="191"/>
        <v>0</v>
      </c>
      <c r="AO236" s="2">
        <f t="shared" si="191"/>
        <v>0</v>
      </c>
      <c r="AP236" s="2">
        <f t="shared" si="191"/>
        <v>0</v>
      </c>
      <c r="AQ236" s="2">
        <f t="shared" si="191"/>
        <v>0</v>
      </c>
      <c r="AR236" s="2">
        <f t="shared" si="191"/>
        <v>19699031.73</v>
      </c>
      <c r="AS236" s="2">
        <f t="shared" si="191"/>
        <v>19678592.99</v>
      </c>
      <c r="AT236" s="2">
        <f t="shared" si="191"/>
        <v>20438.74</v>
      </c>
      <c r="AU236" s="2">
        <f aca="true" t="shared" si="192" ref="AU236:BZ236">AU252</f>
        <v>0</v>
      </c>
      <c r="AV236" s="2">
        <f t="shared" si="192"/>
        <v>7664113.49</v>
      </c>
      <c r="AW236" s="2">
        <f t="shared" si="192"/>
        <v>7664113.49</v>
      </c>
      <c r="AX236" s="2">
        <f t="shared" si="192"/>
        <v>0</v>
      </c>
      <c r="AY236" s="2">
        <f t="shared" si="192"/>
        <v>7664113.49</v>
      </c>
      <c r="AZ236" s="2">
        <f t="shared" si="192"/>
        <v>0</v>
      </c>
      <c r="BA236" s="2">
        <f t="shared" si="192"/>
        <v>0</v>
      </c>
      <c r="BB236" s="2">
        <f t="shared" si="192"/>
        <v>0</v>
      </c>
      <c r="BC236" s="2">
        <f t="shared" si="192"/>
        <v>0</v>
      </c>
      <c r="BD236" s="2">
        <f t="shared" si="192"/>
        <v>0</v>
      </c>
      <c r="BE236" s="2">
        <f t="shared" si="192"/>
        <v>19699031.73</v>
      </c>
      <c r="BF236" s="2">
        <f t="shared" si="192"/>
        <v>19678592.99</v>
      </c>
      <c r="BG236" s="2">
        <f t="shared" si="192"/>
        <v>20438.74</v>
      </c>
      <c r="BH236" s="2">
        <f t="shared" si="192"/>
        <v>0</v>
      </c>
      <c r="BI236" s="2">
        <f t="shared" si="192"/>
        <v>7664113.49</v>
      </c>
      <c r="BJ236" s="2">
        <f t="shared" si="192"/>
        <v>7664113.49</v>
      </c>
      <c r="BK236" s="2">
        <f t="shared" si="192"/>
        <v>0</v>
      </c>
      <c r="BL236" s="2">
        <f t="shared" si="192"/>
        <v>7664113.49</v>
      </c>
      <c r="BM236" s="2">
        <f t="shared" si="192"/>
        <v>0</v>
      </c>
      <c r="BN236" s="2">
        <f t="shared" si="192"/>
        <v>0</v>
      </c>
      <c r="BO236" s="3">
        <f t="shared" si="192"/>
        <v>0</v>
      </c>
      <c r="BP236" s="3">
        <f t="shared" si="192"/>
        <v>0</v>
      </c>
      <c r="BQ236" s="3">
        <f t="shared" si="192"/>
        <v>0</v>
      </c>
      <c r="BR236" s="3">
        <f t="shared" si="192"/>
        <v>0</v>
      </c>
      <c r="BS236" s="3">
        <f t="shared" si="192"/>
        <v>0</v>
      </c>
      <c r="BT236" s="3">
        <f t="shared" si="192"/>
        <v>0</v>
      </c>
      <c r="BU236" s="3">
        <f t="shared" si="192"/>
        <v>0</v>
      </c>
      <c r="BV236" s="3">
        <f t="shared" si="192"/>
        <v>0</v>
      </c>
      <c r="BW236" s="3">
        <f t="shared" si="192"/>
        <v>0</v>
      </c>
      <c r="BX236" s="3">
        <f t="shared" si="192"/>
        <v>0</v>
      </c>
      <c r="BY236" s="3">
        <f t="shared" si="192"/>
        <v>0</v>
      </c>
      <c r="BZ236" s="3">
        <f t="shared" si="192"/>
        <v>0</v>
      </c>
      <c r="CA236" s="3">
        <f aca="true" t="shared" si="193" ref="CA236:DF236">CA252</f>
        <v>0</v>
      </c>
      <c r="CB236" s="3">
        <f t="shared" si="193"/>
        <v>0</v>
      </c>
      <c r="CC236" s="3">
        <f t="shared" si="193"/>
        <v>0</v>
      </c>
      <c r="CD236" s="3">
        <f t="shared" si="193"/>
        <v>0</v>
      </c>
      <c r="CE236" s="3">
        <f t="shared" si="193"/>
        <v>0</v>
      </c>
      <c r="CF236" s="3">
        <f t="shared" si="193"/>
        <v>0</v>
      </c>
      <c r="CG236" s="3">
        <f t="shared" si="193"/>
        <v>0</v>
      </c>
      <c r="CH236" s="3">
        <f t="shared" si="193"/>
        <v>0</v>
      </c>
      <c r="CI236" s="3">
        <f t="shared" si="193"/>
        <v>0</v>
      </c>
      <c r="CJ236" s="3">
        <f t="shared" si="193"/>
        <v>0</v>
      </c>
      <c r="CK236" s="3">
        <f t="shared" si="193"/>
        <v>0</v>
      </c>
      <c r="CL236" s="3">
        <f t="shared" si="193"/>
        <v>0</v>
      </c>
      <c r="CM236" s="3">
        <f t="shared" si="193"/>
        <v>0</v>
      </c>
      <c r="CN236" s="3">
        <f t="shared" si="193"/>
        <v>0</v>
      </c>
      <c r="CO236" s="3">
        <f t="shared" si="193"/>
        <v>0</v>
      </c>
      <c r="CP236" s="3">
        <f t="shared" si="193"/>
        <v>0</v>
      </c>
      <c r="CQ236" s="3">
        <f t="shared" si="193"/>
        <v>0</v>
      </c>
      <c r="CR236" s="3">
        <f t="shared" si="193"/>
        <v>0</v>
      </c>
      <c r="CS236" s="3">
        <f t="shared" si="193"/>
        <v>0</v>
      </c>
      <c r="CT236" s="3">
        <f t="shared" si="193"/>
        <v>0</v>
      </c>
      <c r="CU236" s="3">
        <f t="shared" si="193"/>
        <v>0</v>
      </c>
      <c r="CV236" s="3">
        <f t="shared" si="193"/>
        <v>0</v>
      </c>
      <c r="CW236" s="3">
        <f t="shared" si="193"/>
        <v>0</v>
      </c>
      <c r="CX236" s="3">
        <f t="shared" si="193"/>
        <v>0</v>
      </c>
      <c r="CY236" s="3">
        <f t="shared" si="193"/>
        <v>0</v>
      </c>
      <c r="CZ236" s="3">
        <f t="shared" si="193"/>
        <v>0</v>
      </c>
      <c r="DA236" s="3">
        <f t="shared" si="193"/>
        <v>0</v>
      </c>
      <c r="DB236" s="3">
        <f t="shared" si="193"/>
        <v>0</v>
      </c>
      <c r="DC236" s="3">
        <f t="shared" si="193"/>
        <v>0</v>
      </c>
      <c r="DD236" s="3">
        <f t="shared" si="193"/>
        <v>0</v>
      </c>
      <c r="DE236" s="3">
        <f t="shared" si="193"/>
        <v>0</v>
      </c>
      <c r="DF236" s="3">
        <f t="shared" si="193"/>
        <v>0</v>
      </c>
      <c r="DG236" s="3">
        <f aca="true" t="shared" si="194" ref="DG236:DN236">DG252</f>
        <v>0</v>
      </c>
      <c r="DH236" s="3">
        <f t="shared" si="194"/>
        <v>0</v>
      </c>
      <c r="DI236" s="3">
        <f t="shared" si="194"/>
        <v>0</v>
      </c>
      <c r="DJ236" s="3">
        <f t="shared" si="194"/>
        <v>0</v>
      </c>
      <c r="DK236" s="3">
        <f t="shared" si="194"/>
        <v>0</v>
      </c>
      <c r="DL236" s="3">
        <f t="shared" si="194"/>
        <v>0</v>
      </c>
      <c r="DM236" s="3">
        <f t="shared" si="194"/>
        <v>0</v>
      </c>
      <c r="DN236" s="3">
        <f t="shared" si="194"/>
        <v>0</v>
      </c>
    </row>
    <row r="238" spans="1:206" ht="12.75">
      <c r="A238">
        <v>17</v>
      </c>
      <c r="B238">
        <v>1</v>
      </c>
      <c r="C238">
        <f>ROW(SmtRes!A117)</f>
        <v>117</v>
      </c>
      <c r="D238">
        <f>ROW(EtalonRes!A120)</f>
        <v>120</v>
      </c>
      <c r="E238" t="s">
        <v>292</v>
      </c>
      <c r="F238" t="s">
        <v>22</v>
      </c>
      <c r="G238" t="s">
        <v>23</v>
      </c>
      <c r="H238" t="s">
        <v>24</v>
      </c>
      <c r="I238">
        <f>ROUND(36/100,9)</f>
        <v>0.36</v>
      </c>
      <c r="J238">
        <v>0</v>
      </c>
      <c r="O238">
        <f aca="true" t="shared" si="195" ref="O238:O250">ROUND(CP238+GX238,2)</f>
        <v>21529.44</v>
      </c>
      <c r="P238">
        <f aca="true" t="shared" si="196" ref="P238:P250">ROUND(CQ238*I238,2)</f>
        <v>0</v>
      </c>
      <c r="Q238">
        <f aca="true" t="shared" si="197" ref="Q238:Q250">ROUND(CR238*I238,2)</f>
        <v>0</v>
      </c>
      <c r="R238">
        <f aca="true" t="shared" si="198" ref="R238:R250">ROUND(CS238*I238,2)</f>
        <v>0</v>
      </c>
      <c r="S238">
        <f aca="true" t="shared" si="199" ref="S238:S250">ROUND(CT238*I238,2)</f>
        <v>21529.44</v>
      </c>
      <c r="T238">
        <f aca="true" t="shared" si="200" ref="T238:T250">ROUND(CU238*I238,2)</f>
        <v>0</v>
      </c>
      <c r="U238">
        <f aca="true" t="shared" si="201" ref="U238:U250">CV238*I238</f>
        <v>99.56269439999997</v>
      </c>
      <c r="V238">
        <f aca="true" t="shared" si="202" ref="V238:V250">CW238*I238</f>
        <v>0</v>
      </c>
      <c r="W238">
        <f aca="true" t="shared" si="203" ref="W238:W250">ROUND(CX238*I238,2)</f>
        <v>0</v>
      </c>
      <c r="X238">
        <f aca="true" t="shared" si="204" ref="X238:X250">ROUND(CY238,2)</f>
        <v>18300.02</v>
      </c>
      <c r="Y238">
        <f aca="true" t="shared" si="205" ref="Y238:Y250">ROUND(CZ238,2)</f>
        <v>8827.07</v>
      </c>
      <c r="AA238">
        <v>34388368</v>
      </c>
      <c r="AB238">
        <f aca="true" t="shared" si="206" ref="AB238:AB250">ROUND((AC238+AD238+AF238)+GT238,6)</f>
        <v>2349.013</v>
      </c>
      <c r="AC238">
        <f aca="true" t="shared" si="207" ref="AC238:AC250">ROUND((ES238),6)</f>
        <v>0</v>
      </c>
      <c r="AD238">
        <f>ROUND(((((ET238*1.15))-((EU238*1.15)))+AE238),6)</f>
        <v>0</v>
      </c>
      <c r="AE238">
        <f aca="true" t="shared" si="208" ref="AE238:AF240">ROUND(((EU238*1.15)),6)</f>
        <v>0</v>
      </c>
      <c r="AF238">
        <f t="shared" si="208"/>
        <v>2349.013</v>
      </c>
      <c r="AG238">
        <f aca="true" t="shared" si="209" ref="AG238:AG250">ROUND((AP238),6)</f>
        <v>0</v>
      </c>
      <c r="AH238">
        <f aca="true" t="shared" si="210" ref="AH238:AI240">((EW238*1.15))</f>
        <v>221.60499999999996</v>
      </c>
      <c r="AI238">
        <f t="shared" si="210"/>
        <v>0</v>
      </c>
      <c r="AJ238">
        <f aca="true" t="shared" si="211" ref="AJ238:AJ250">ROUND((AS238),6)</f>
        <v>0</v>
      </c>
      <c r="AK238">
        <v>2042.62</v>
      </c>
      <c r="AL238">
        <v>0</v>
      </c>
      <c r="AM238">
        <v>0</v>
      </c>
      <c r="AN238">
        <v>0</v>
      </c>
      <c r="AO238">
        <v>2042.62</v>
      </c>
      <c r="AP238">
        <v>0</v>
      </c>
      <c r="AQ238">
        <v>192.7</v>
      </c>
      <c r="AR238">
        <v>0</v>
      </c>
      <c r="AS238">
        <v>0</v>
      </c>
      <c r="AT238">
        <v>85</v>
      </c>
      <c r="AU238">
        <v>41</v>
      </c>
      <c r="AV238">
        <v>1.248</v>
      </c>
      <c r="AW238">
        <v>1</v>
      </c>
      <c r="AZ238">
        <v>1</v>
      </c>
      <c r="BA238">
        <v>20.4</v>
      </c>
      <c r="BB238">
        <v>1</v>
      </c>
      <c r="BC238">
        <v>1</v>
      </c>
      <c r="BH238">
        <v>0</v>
      </c>
      <c r="BI238">
        <v>1</v>
      </c>
      <c r="BJ238" t="s">
        <v>25</v>
      </c>
      <c r="BM238">
        <v>16</v>
      </c>
      <c r="BN238">
        <v>0</v>
      </c>
      <c r="BO238" t="s">
        <v>22</v>
      </c>
      <c r="BP238">
        <v>1</v>
      </c>
      <c r="BQ238">
        <v>30</v>
      </c>
      <c r="BR238">
        <v>0</v>
      </c>
      <c r="BS238">
        <v>20.4</v>
      </c>
      <c r="BT238">
        <v>1</v>
      </c>
      <c r="BU238">
        <v>1</v>
      </c>
      <c r="BV238">
        <v>1</v>
      </c>
      <c r="BW238">
        <v>1</v>
      </c>
      <c r="BX238">
        <v>1</v>
      </c>
      <c r="BZ238">
        <v>85</v>
      </c>
      <c r="CA238">
        <v>41</v>
      </c>
      <c r="CF238">
        <v>0</v>
      </c>
      <c r="CG238">
        <v>0</v>
      </c>
      <c r="CM238">
        <v>0</v>
      </c>
      <c r="CN238" t="s">
        <v>26</v>
      </c>
      <c r="CO238">
        <v>0</v>
      </c>
      <c r="CP238">
        <f aca="true" t="shared" si="212" ref="CP238:CP250">(P238+Q238+S238)</f>
        <v>21529.44</v>
      </c>
      <c r="CQ238">
        <f aca="true" t="shared" si="213" ref="CQ238:CQ250">(AC238*BC238*AW238)</f>
        <v>0</v>
      </c>
      <c r="CR238">
        <f>(((((ET238*1.15))*BB238-((EU238*1.15))*BS238)+AE238*BS238)*AV238)</f>
        <v>0</v>
      </c>
      <c r="CS238">
        <f aca="true" t="shared" si="214" ref="CS238:CS250">(AE238*BS238*AV238)</f>
        <v>0</v>
      </c>
      <c r="CT238">
        <f aca="true" t="shared" si="215" ref="CT238:CT250">(AF238*BA238*AV238)</f>
        <v>59803.99176959999</v>
      </c>
      <c r="CU238">
        <f aca="true" t="shared" si="216" ref="CU238:CU250">AG238</f>
        <v>0</v>
      </c>
      <c r="CV238">
        <f aca="true" t="shared" si="217" ref="CV238:CV250">(AH238*AV238)</f>
        <v>276.56303999999994</v>
      </c>
      <c r="CW238">
        <f aca="true" t="shared" si="218" ref="CW238:CW250">AI238</f>
        <v>0</v>
      </c>
      <c r="CX238">
        <f aca="true" t="shared" si="219" ref="CX238:CX250">AJ238</f>
        <v>0</v>
      </c>
      <c r="CY238">
        <f aca="true" t="shared" si="220" ref="CY238:CY250">S238*(BZ238/100)</f>
        <v>18300.023999999998</v>
      </c>
      <c r="CZ238">
        <f aca="true" t="shared" si="221" ref="CZ238:CZ250">S238*(CA238/100)</f>
        <v>8827.070399999999</v>
      </c>
      <c r="DE238" t="s">
        <v>27</v>
      </c>
      <c r="DF238" t="s">
        <v>27</v>
      </c>
      <c r="DG238" t="s">
        <v>27</v>
      </c>
      <c r="DI238" t="s">
        <v>27</v>
      </c>
      <c r="DJ238" t="s">
        <v>27</v>
      </c>
      <c r="DN238">
        <v>105</v>
      </c>
      <c r="DO238">
        <v>77</v>
      </c>
      <c r="DP238">
        <v>1.248</v>
      </c>
      <c r="DQ238">
        <v>1</v>
      </c>
      <c r="DU238">
        <v>1007</v>
      </c>
      <c r="DV238" t="s">
        <v>24</v>
      </c>
      <c r="DW238" t="s">
        <v>24</v>
      </c>
      <c r="DX238">
        <v>100</v>
      </c>
      <c r="EE238">
        <v>34317431</v>
      </c>
      <c r="EF238">
        <v>30</v>
      </c>
      <c r="EG238" t="s">
        <v>28</v>
      </c>
      <c r="EH238">
        <v>0</v>
      </c>
      <c r="EJ238">
        <v>1</v>
      </c>
      <c r="EK238">
        <v>16</v>
      </c>
      <c r="EL238" t="s">
        <v>29</v>
      </c>
      <c r="EM238" t="s">
        <v>30</v>
      </c>
      <c r="EO238" t="s">
        <v>31</v>
      </c>
      <c r="EQ238">
        <v>0</v>
      </c>
      <c r="ER238">
        <v>2042.62</v>
      </c>
      <c r="ES238">
        <v>0</v>
      </c>
      <c r="ET238">
        <v>0</v>
      </c>
      <c r="EU238">
        <v>0</v>
      </c>
      <c r="EV238">
        <v>2042.62</v>
      </c>
      <c r="EW238">
        <v>192.7</v>
      </c>
      <c r="EX238">
        <v>0</v>
      </c>
      <c r="EY238">
        <v>0</v>
      </c>
      <c r="FQ238">
        <v>0</v>
      </c>
      <c r="FR238">
        <f aca="true" t="shared" si="222" ref="FR238:FR250">ROUND(IF(AND(BH238=3,BI238=3),P238,0),2)</f>
        <v>0</v>
      </c>
      <c r="FS238">
        <v>0</v>
      </c>
      <c r="FX238">
        <v>105</v>
      </c>
      <c r="FY238">
        <v>77</v>
      </c>
      <c r="GD238">
        <v>0</v>
      </c>
      <c r="GF238">
        <v>-1910584882</v>
      </c>
      <c r="GG238">
        <v>2</v>
      </c>
      <c r="GH238">
        <v>1</v>
      </c>
      <c r="GI238">
        <v>2</v>
      </c>
      <c r="GJ238">
        <v>0</v>
      </c>
      <c r="GK238">
        <f>ROUND(R238*(R12)/100,2)</f>
        <v>0</v>
      </c>
      <c r="GL238">
        <f aca="true" t="shared" si="223" ref="GL238:GL250">ROUND(IF(AND(BH238=3,BI238=3,FS238&lt;&gt;0),P238,0),2)</f>
        <v>0</v>
      </c>
      <c r="GM238">
        <f aca="true" t="shared" si="224" ref="GM238:GM250">O238+X238+Y238+GK238</f>
        <v>48656.53</v>
      </c>
      <c r="GN238">
        <f aca="true" t="shared" si="225" ref="GN238:GN250">ROUND(IF(OR(BI238=0,BI238=1),O238+X238+Y238+GK238-GX238,0),2)</f>
        <v>48656.53</v>
      </c>
      <c r="GO238">
        <f aca="true" t="shared" si="226" ref="GO238:GO250">ROUND(IF(BI238=2,O238+X238+Y238+GK238-GX238,0),2)</f>
        <v>0</v>
      </c>
      <c r="GP238">
        <f aca="true" t="shared" si="227" ref="GP238:GP250">ROUND(IF(BI238=4,O238+X238+Y238+GK238,GX238),2)</f>
        <v>0</v>
      </c>
      <c r="GT238">
        <v>0</v>
      </c>
      <c r="GU238">
        <v>1</v>
      </c>
      <c r="GV238">
        <v>0</v>
      </c>
      <c r="GW238">
        <v>0</v>
      </c>
      <c r="GX238">
        <f aca="true" t="shared" si="228" ref="GX238:GX250">ROUND(GT238*GU238*I238,2)</f>
        <v>0</v>
      </c>
    </row>
    <row r="239" spans="1:206" ht="12.75">
      <c r="A239">
        <v>17</v>
      </c>
      <c r="B239">
        <v>1</v>
      </c>
      <c r="C239">
        <f>ROW(SmtRes!A119)</f>
        <v>119</v>
      </c>
      <c r="D239">
        <f>ROW(EtalonRes!A122)</f>
        <v>122</v>
      </c>
      <c r="E239" t="s">
        <v>293</v>
      </c>
      <c r="F239" t="s">
        <v>294</v>
      </c>
      <c r="G239" t="s">
        <v>295</v>
      </c>
      <c r="H239" t="s">
        <v>296</v>
      </c>
      <c r="I239">
        <v>3</v>
      </c>
      <c r="J239">
        <v>0</v>
      </c>
      <c r="O239">
        <f t="shared" si="195"/>
        <v>5567.77</v>
      </c>
      <c r="P239">
        <f t="shared" si="196"/>
        <v>0</v>
      </c>
      <c r="Q239">
        <f t="shared" si="197"/>
        <v>5316.49</v>
      </c>
      <c r="R239">
        <f t="shared" si="198"/>
        <v>1200.38</v>
      </c>
      <c r="S239">
        <f t="shared" si="199"/>
        <v>251.28</v>
      </c>
      <c r="T239">
        <f t="shared" si="200"/>
        <v>0</v>
      </c>
      <c r="U239">
        <f t="shared" si="201"/>
        <v>0.9752805</v>
      </c>
      <c r="V239">
        <f t="shared" si="202"/>
        <v>0</v>
      </c>
      <c r="W239">
        <f t="shared" si="203"/>
        <v>0</v>
      </c>
      <c r="X239">
        <f t="shared" si="204"/>
        <v>299.02</v>
      </c>
      <c r="Y239">
        <f t="shared" si="205"/>
        <v>188.46</v>
      </c>
      <c r="AA239">
        <v>34388368</v>
      </c>
      <c r="AB239">
        <f t="shared" si="206"/>
        <v>307.257</v>
      </c>
      <c r="AC239">
        <f t="shared" si="207"/>
        <v>0</v>
      </c>
      <c r="AD239">
        <f>ROUND(((((ET239*1.15))-((EU239*1.15)))+AE239),6)</f>
        <v>303.3355</v>
      </c>
      <c r="AE239">
        <f t="shared" si="208"/>
        <v>18.7335</v>
      </c>
      <c r="AF239">
        <f t="shared" si="208"/>
        <v>3.9215</v>
      </c>
      <c r="AG239">
        <f t="shared" si="209"/>
        <v>0</v>
      </c>
      <c r="AH239">
        <f t="shared" si="210"/>
        <v>0.3105</v>
      </c>
      <c r="AI239">
        <f t="shared" si="210"/>
        <v>0</v>
      </c>
      <c r="AJ239">
        <f t="shared" si="211"/>
        <v>0</v>
      </c>
      <c r="AK239">
        <v>267.18</v>
      </c>
      <c r="AL239">
        <v>0</v>
      </c>
      <c r="AM239">
        <v>263.77</v>
      </c>
      <c r="AN239">
        <v>16.29</v>
      </c>
      <c r="AO239">
        <v>3.41</v>
      </c>
      <c r="AP239">
        <v>0</v>
      </c>
      <c r="AQ239">
        <v>0.27</v>
      </c>
      <c r="AR239">
        <v>0</v>
      </c>
      <c r="AS239">
        <v>0</v>
      </c>
      <c r="AT239">
        <v>119</v>
      </c>
      <c r="AU239">
        <v>75</v>
      </c>
      <c r="AV239">
        <v>1.047</v>
      </c>
      <c r="AW239">
        <v>1.079</v>
      </c>
      <c r="AZ239">
        <v>1</v>
      </c>
      <c r="BA239">
        <v>20.4</v>
      </c>
      <c r="BB239">
        <v>5.58</v>
      </c>
      <c r="BC239">
        <v>1</v>
      </c>
      <c r="BH239">
        <v>0</v>
      </c>
      <c r="BI239">
        <v>1</v>
      </c>
      <c r="BJ239" t="s">
        <v>297</v>
      </c>
      <c r="BM239">
        <v>1996</v>
      </c>
      <c r="BN239">
        <v>0</v>
      </c>
      <c r="BO239" t="s">
        <v>294</v>
      </c>
      <c r="BP239">
        <v>1</v>
      </c>
      <c r="BQ239">
        <v>30</v>
      </c>
      <c r="BR239">
        <v>0</v>
      </c>
      <c r="BS239">
        <v>20.4</v>
      </c>
      <c r="BT239">
        <v>1</v>
      </c>
      <c r="BU239">
        <v>1</v>
      </c>
      <c r="BV239">
        <v>1</v>
      </c>
      <c r="BW239">
        <v>1</v>
      </c>
      <c r="BX239">
        <v>1</v>
      </c>
      <c r="BZ239">
        <v>119</v>
      </c>
      <c r="CA239">
        <v>75</v>
      </c>
      <c r="CF239">
        <v>0</v>
      </c>
      <c r="CG239">
        <v>0</v>
      </c>
      <c r="CM239">
        <v>0</v>
      </c>
      <c r="CN239" t="s">
        <v>26</v>
      </c>
      <c r="CO239">
        <v>0</v>
      </c>
      <c r="CP239">
        <f t="shared" si="212"/>
        <v>5567.7699999999995</v>
      </c>
      <c r="CQ239">
        <f t="shared" si="213"/>
        <v>0</v>
      </c>
      <c r="CR239">
        <f>(((((ET239*1.15))*BB239-((EU239*1.15))*BS239)+AE239*BS239)*AV239)</f>
        <v>1772.1648582299997</v>
      </c>
      <c r="CS239">
        <f t="shared" si="214"/>
        <v>400.1250797999999</v>
      </c>
      <c r="CT239">
        <f t="shared" si="215"/>
        <v>83.75853419999999</v>
      </c>
      <c r="CU239">
        <f t="shared" si="216"/>
        <v>0</v>
      </c>
      <c r="CV239">
        <f t="shared" si="217"/>
        <v>0.3250935</v>
      </c>
      <c r="CW239">
        <f t="shared" si="218"/>
        <v>0</v>
      </c>
      <c r="CX239">
        <f t="shared" si="219"/>
        <v>0</v>
      </c>
      <c r="CY239">
        <f t="shared" si="220"/>
        <v>299.0232</v>
      </c>
      <c r="CZ239">
        <f t="shared" si="221"/>
        <v>188.46</v>
      </c>
      <c r="DE239" t="s">
        <v>27</v>
      </c>
      <c r="DF239" t="s">
        <v>27</v>
      </c>
      <c r="DG239" t="s">
        <v>27</v>
      </c>
      <c r="DI239" t="s">
        <v>27</v>
      </c>
      <c r="DJ239" t="s">
        <v>27</v>
      </c>
      <c r="DN239">
        <v>149</v>
      </c>
      <c r="DO239">
        <v>158</v>
      </c>
      <c r="DP239">
        <v>1.047</v>
      </c>
      <c r="DQ239">
        <v>1.079</v>
      </c>
      <c r="DU239">
        <v>1010</v>
      </c>
      <c r="DV239" t="s">
        <v>296</v>
      </c>
      <c r="DW239" t="s">
        <v>296</v>
      </c>
      <c r="DX239">
        <v>1</v>
      </c>
      <c r="EE239">
        <v>34319412</v>
      </c>
      <c r="EF239">
        <v>30</v>
      </c>
      <c r="EG239" t="s">
        <v>28</v>
      </c>
      <c r="EH239">
        <v>0</v>
      </c>
      <c r="EJ239">
        <v>1</v>
      </c>
      <c r="EK239">
        <v>1996</v>
      </c>
      <c r="EL239" t="s">
        <v>298</v>
      </c>
      <c r="EM239" t="s">
        <v>299</v>
      </c>
      <c r="EO239" t="s">
        <v>31</v>
      </c>
      <c r="EQ239">
        <v>0</v>
      </c>
      <c r="ER239">
        <v>267.18</v>
      </c>
      <c r="ES239">
        <v>0</v>
      </c>
      <c r="ET239">
        <v>263.77</v>
      </c>
      <c r="EU239">
        <v>16.29</v>
      </c>
      <c r="EV239">
        <v>3.41</v>
      </c>
      <c r="EW239">
        <v>0.27</v>
      </c>
      <c r="EX239">
        <v>0</v>
      </c>
      <c r="EY239">
        <v>0</v>
      </c>
      <c r="FQ239">
        <v>0</v>
      </c>
      <c r="FR239">
        <f t="shared" si="222"/>
        <v>0</v>
      </c>
      <c r="FS239">
        <v>0</v>
      </c>
      <c r="FX239">
        <v>149</v>
      </c>
      <c r="FY239">
        <v>158</v>
      </c>
      <c r="GD239">
        <v>0</v>
      </c>
      <c r="GF239">
        <v>-933565893</v>
      </c>
      <c r="GG239">
        <v>2</v>
      </c>
      <c r="GH239">
        <v>1</v>
      </c>
      <c r="GI239">
        <v>2</v>
      </c>
      <c r="GJ239">
        <v>0</v>
      </c>
      <c r="GK239">
        <f>ROUND(R239*(R12)/100,2)</f>
        <v>2004.63</v>
      </c>
      <c r="GL239">
        <f t="shared" si="223"/>
        <v>0</v>
      </c>
      <c r="GM239">
        <f t="shared" si="224"/>
        <v>8059.880000000001</v>
      </c>
      <c r="GN239">
        <f t="shared" si="225"/>
        <v>8059.88</v>
      </c>
      <c r="GO239">
        <f t="shared" si="226"/>
        <v>0</v>
      </c>
      <c r="GP239">
        <f t="shared" si="227"/>
        <v>0</v>
      </c>
      <c r="GT239">
        <v>0</v>
      </c>
      <c r="GU239">
        <v>1</v>
      </c>
      <c r="GV239">
        <v>0</v>
      </c>
      <c r="GW239">
        <v>0</v>
      </c>
      <c r="GX239">
        <f t="shared" si="228"/>
        <v>0</v>
      </c>
    </row>
    <row r="240" spans="1:206" ht="12.75">
      <c r="A240">
        <v>17</v>
      </c>
      <c r="B240">
        <v>1</v>
      </c>
      <c r="C240">
        <f>ROW(SmtRes!A130)</f>
        <v>130</v>
      </c>
      <c r="D240">
        <f>ROW(EtalonRes!A136)</f>
        <v>136</v>
      </c>
      <c r="E240" t="s">
        <v>300</v>
      </c>
      <c r="F240" t="s">
        <v>301</v>
      </c>
      <c r="G240" t="s">
        <v>302</v>
      </c>
      <c r="H240" t="s">
        <v>158</v>
      </c>
      <c r="I240">
        <v>1388</v>
      </c>
      <c r="J240">
        <v>0</v>
      </c>
      <c r="O240">
        <f t="shared" si="195"/>
        <v>7510720.68</v>
      </c>
      <c r="P240">
        <f t="shared" si="196"/>
        <v>47618.14</v>
      </c>
      <c r="Q240">
        <f t="shared" si="197"/>
        <v>6834770.09</v>
      </c>
      <c r="R240">
        <f t="shared" si="198"/>
        <v>1938523.24</v>
      </c>
      <c r="S240">
        <f t="shared" si="199"/>
        <v>628332.45</v>
      </c>
      <c r="T240">
        <f t="shared" si="200"/>
        <v>0</v>
      </c>
      <c r="U240">
        <f t="shared" si="201"/>
        <v>2206.012248</v>
      </c>
      <c r="V240">
        <f t="shared" si="202"/>
        <v>0</v>
      </c>
      <c r="W240">
        <f t="shared" si="203"/>
        <v>0</v>
      </c>
      <c r="X240">
        <f t="shared" si="204"/>
        <v>747715.62</v>
      </c>
      <c r="Y240">
        <f t="shared" si="205"/>
        <v>471249.34</v>
      </c>
      <c r="AA240">
        <v>34388368</v>
      </c>
      <c r="AB240">
        <f t="shared" si="206"/>
        <v>792.971</v>
      </c>
      <c r="AC240">
        <f t="shared" si="207"/>
        <v>8.28</v>
      </c>
      <c r="AD240">
        <f>ROUND(((((ET240*1.15))-((EU240*1.15)))+AE240),6)</f>
        <v>763.4965</v>
      </c>
      <c r="AE240">
        <f t="shared" si="208"/>
        <v>65.389</v>
      </c>
      <c r="AF240">
        <f t="shared" si="208"/>
        <v>21.1945</v>
      </c>
      <c r="AG240">
        <f t="shared" si="209"/>
        <v>0</v>
      </c>
      <c r="AH240">
        <f t="shared" si="210"/>
        <v>1.518</v>
      </c>
      <c r="AI240">
        <f t="shared" si="210"/>
        <v>0</v>
      </c>
      <c r="AJ240">
        <f t="shared" si="211"/>
        <v>0</v>
      </c>
      <c r="AK240">
        <v>690.62</v>
      </c>
      <c r="AL240">
        <v>8.28</v>
      </c>
      <c r="AM240">
        <v>663.91</v>
      </c>
      <c r="AN240">
        <v>56.86</v>
      </c>
      <c r="AO240">
        <v>18.43</v>
      </c>
      <c r="AP240">
        <v>0</v>
      </c>
      <c r="AQ240">
        <v>1.32</v>
      </c>
      <c r="AR240">
        <v>0</v>
      </c>
      <c r="AS240">
        <v>0</v>
      </c>
      <c r="AT240">
        <v>119</v>
      </c>
      <c r="AU240">
        <v>75</v>
      </c>
      <c r="AV240">
        <v>1.047</v>
      </c>
      <c r="AW240">
        <v>1.079</v>
      </c>
      <c r="AZ240">
        <v>1</v>
      </c>
      <c r="BA240">
        <v>20.4</v>
      </c>
      <c r="BB240">
        <v>6.16</v>
      </c>
      <c r="BC240">
        <v>3.84</v>
      </c>
      <c r="BH240">
        <v>0</v>
      </c>
      <c r="BI240">
        <v>1</v>
      </c>
      <c r="BJ240" t="s">
        <v>303</v>
      </c>
      <c r="BM240">
        <v>1996</v>
      </c>
      <c r="BN240">
        <v>0</v>
      </c>
      <c r="BO240" t="s">
        <v>301</v>
      </c>
      <c r="BP240">
        <v>1</v>
      </c>
      <c r="BQ240">
        <v>30</v>
      </c>
      <c r="BR240">
        <v>0</v>
      </c>
      <c r="BS240">
        <v>20.4</v>
      </c>
      <c r="BT240">
        <v>1</v>
      </c>
      <c r="BU240">
        <v>1</v>
      </c>
      <c r="BV240">
        <v>1</v>
      </c>
      <c r="BW240">
        <v>1</v>
      </c>
      <c r="BX240">
        <v>1</v>
      </c>
      <c r="BZ240">
        <v>119</v>
      </c>
      <c r="CA240">
        <v>75</v>
      </c>
      <c r="CF240">
        <v>0</v>
      </c>
      <c r="CG240">
        <v>0</v>
      </c>
      <c r="CM240">
        <v>0</v>
      </c>
      <c r="CN240" t="s">
        <v>26</v>
      </c>
      <c r="CO240">
        <v>0</v>
      </c>
      <c r="CP240">
        <f t="shared" si="212"/>
        <v>7510720.68</v>
      </c>
      <c r="CQ240">
        <f t="shared" si="213"/>
        <v>34.3070208</v>
      </c>
      <c r="CR240">
        <f>(((((ET240*1.15))*BB240-((EU240*1.15))*BS240)+AE240*BS240)*AV240)</f>
        <v>4924.185946679999</v>
      </c>
      <c r="CS240">
        <f t="shared" si="214"/>
        <v>1396.6305731999996</v>
      </c>
      <c r="CT240">
        <f t="shared" si="215"/>
        <v>452.68908659999994</v>
      </c>
      <c r="CU240">
        <f t="shared" si="216"/>
        <v>0</v>
      </c>
      <c r="CV240">
        <f t="shared" si="217"/>
        <v>1.589346</v>
      </c>
      <c r="CW240">
        <f t="shared" si="218"/>
        <v>0</v>
      </c>
      <c r="CX240">
        <f t="shared" si="219"/>
        <v>0</v>
      </c>
      <c r="CY240">
        <f t="shared" si="220"/>
        <v>747715.6155</v>
      </c>
      <c r="CZ240">
        <f t="shared" si="221"/>
        <v>471249.33749999997</v>
      </c>
      <c r="DE240" t="s">
        <v>27</v>
      </c>
      <c r="DF240" t="s">
        <v>27</v>
      </c>
      <c r="DG240" t="s">
        <v>27</v>
      </c>
      <c r="DI240" t="s">
        <v>27</v>
      </c>
      <c r="DJ240" t="s">
        <v>27</v>
      </c>
      <c r="DN240">
        <v>149</v>
      </c>
      <c r="DO240">
        <v>158</v>
      </c>
      <c r="DP240">
        <v>1.047</v>
      </c>
      <c r="DQ240">
        <v>1.079</v>
      </c>
      <c r="DU240">
        <v>1003</v>
      </c>
      <c r="DV240" t="s">
        <v>158</v>
      </c>
      <c r="DW240" t="s">
        <v>158</v>
      </c>
      <c r="DX240">
        <v>1</v>
      </c>
      <c r="EE240">
        <v>34319412</v>
      </c>
      <c r="EF240">
        <v>30</v>
      </c>
      <c r="EG240" t="s">
        <v>28</v>
      </c>
      <c r="EH240">
        <v>0</v>
      </c>
      <c r="EJ240">
        <v>1</v>
      </c>
      <c r="EK240">
        <v>1996</v>
      </c>
      <c r="EL240" t="s">
        <v>298</v>
      </c>
      <c r="EM240" t="s">
        <v>299</v>
      </c>
      <c r="EO240" t="s">
        <v>31</v>
      </c>
      <c r="EQ240">
        <v>0</v>
      </c>
      <c r="ER240">
        <v>690.62</v>
      </c>
      <c r="ES240">
        <v>8.28</v>
      </c>
      <c r="ET240">
        <v>663.91</v>
      </c>
      <c r="EU240">
        <v>56.86</v>
      </c>
      <c r="EV240">
        <v>18.43</v>
      </c>
      <c r="EW240">
        <v>1.32</v>
      </c>
      <c r="EX240">
        <v>0</v>
      </c>
      <c r="EY240">
        <v>0</v>
      </c>
      <c r="FQ240">
        <v>0</v>
      </c>
      <c r="FR240">
        <f t="shared" si="222"/>
        <v>0</v>
      </c>
      <c r="FS240">
        <v>0</v>
      </c>
      <c r="FX240">
        <v>149</v>
      </c>
      <c r="FY240">
        <v>158</v>
      </c>
      <c r="GD240">
        <v>0</v>
      </c>
      <c r="GF240">
        <v>1493499568</v>
      </c>
      <c r="GG240">
        <v>2</v>
      </c>
      <c r="GH240">
        <v>1</v>
      </c>
      <c r="GI240">
        <v>2</v>
      </c>
      <c r="GJ240">
        <v>0</v>
      </c>
      <c r="GK240">
        <f>ROUND(R240*(R12)/100,2)</f>
        <v>3237333.81</v>
      </c>
      <c r="GL240">
        <f t="shared" si="223"/>
        <v>0</v>
      </c>
      <c r="GM240">
        <f t="shared" si="224"/>
        <v>11967019.450000001</v>
      </c>
      <c r="GN240">
        <f t="shared" si="225"/>
        <v>11967019.45</v>
      </c>
      <c r="GO240">
        <f t="shared" si="226"/>
        <v>0</v>
      </c>
      <c r="GP240">
        <f t="shared" si="227"/>
        <v>0</v>
      </c>
      <c r="GT240">
        <v>0</v>
      </c>
      <c r="GU240">
        <v>1</v>
      </c>
      <c r="GV240">
        <v>0</v>
      </c>
      <c r="GW240">
        <v>0</v>
      </c>
      <c r="GX240">
        <f t="shared" si="228"/>
        <v>0</v>
      </c>
    </row>
    <row r="241" spans="1:206" ht="12.75">
      <c r="A241">
        <v>17</v>
      </c>
      <c r="B241">
        <v>1</v>
      </c>
      <c r="E241" t="s">
        <v>304</v>
      </c>
      <c r="F241" t="s">
        <v>305</v>
      </c>
      <c r="G241" t="s">
        <v>306</v>
      </c>
      <c r="H241" t="s">
        <v>307</v>
      </c>
      <c r="I241">
        <v>112705.6</v>
      </c>
      <c r="J241">
        <v>0</v>
      </c>
      <c r="O241">
        <f t="shared" si="195"/>
        <v>1158929.14</v>
      </c>
      <c r="P241">
        <f t="shared" si="196"/>
        <v>1158929.14</v>
      </c>
      <c r="Q241">
        <f t="shared" si="197"/>
        <v>0</v>
      </c>
      <c r="R241">
        <f t="shared" si="198"/>
        <v>0</v>
      </c>
      <c r="S241">
        <f t="shared" si="199"/>
        <v>0</v>
      </c>
      <c r="T241">
        <f t="shared" si="200"/>
        <v>0</v>
      </c>
      <c r="U241">
        <f t="shared" si="201"/>
        <v>0</v>
      </c>
      <c r="V241">
        <f t="shared" si="202"/>
        <v>0</v>
      </c>
      <c r="W241">
        <f t="shared" si="203"/>
        <v>0</v>
      </c>
      <c r="X241">
        <f t="shared" si="204"/>
        <v>0</v>
      </c>
      <c r="Y241">
        <f t="shared" si="205"/>
        <v>0</v>
      </c>
      <c r="AA241">
        <v>34388368</v>
      </c>
      <c r="AB241">
        <f t="shared" si="206"/>
        <v>23.37</v>
      </c>
      <c r="AC241">
        <f t="shared" si="207"/>
        <v>23.37</v>
      </c>
      <c r="AD241">
        <f>ROUND((((ET241)-(EU241))+AE241),6)</f>
        <v>0</v>
      </c>
      <c r="AE241">
        <f aca="true" t="shared" si="229" ref="AE241:AF243">ROUND((EU241),6)</f>
        <v>0</v>
      </c>
      <c r="AF241">
        <f t="shared" si="229"/>
        <v>0</v>
      </c>
      <c r="AG241">
        <f t="shared" si="209"/>
        <v>0</v>
      </c>
      <c r="AH241">
        <f aca="true" t="shared" si="230" ref="AH241:AI243">(EW241)</f>
        <v>0</v>
      </c>
      <c r="AI241">
        <f t="shared" si="230"/>
        <v>0</v>
      </c>
      <c r="AJ241">
        <f t="shared" si="211"/>
        <v>0</v>
      </c>
      <c r="AK241">
        <v>23.37</v>
      </c>
      <c r="AL241">
        <v>23.37</v>
      </c>
      <c r="AM241">
        <v>0</v>
      </c>
      <c r="AN241">
        <v>0</v>
      </c>
      <c r="AO241">
        <v>0</v>
      </c>
      <c r="AP241">
        <v>0</v>
      </c>
      <c r="AQ241">
        <v>0</v>
      </c>
      <c r="AR241">
        <v>0</v>
      </c>
      <c r="AS241">
        <v>0</v>
      </c>
      <c r="AT241">
        <v>0</v>
      </c>
      <c r="AU241">
        <v>0</v>
      </c>
      <c r="AV241">
        <v>1</v>
      </c>
      <c r="AW241">
        <v>1</v>
      </c>
      <c r="AZ241">
        <v>1</v>
      </c>
      <c r="BA241">
        <v>1</v>
      </c>
      <c r="BB241">
        <v>1</v>
      </c>
      <c r="BC241">
        <v>0.44</v>
      </c>
      <c r="BH241">
        <v>3</v>
      </c>
      <c r="BI241">
        <v>1</v>
      </c>
      <c r="BJ241" t="s">
        <v>308</v>
      </c>
      <c r="BM241">
        <v>1617</v>
      </c>
      <c r="BN241">
        <v>0</v>
      </c>
      <c r="BO241" t="s">
        <v>305</v>
      </c>
      <c r="BP241">
        <v>1</v>
      </c>
      <c r="BQ241">
        <v>200</v>
      </c>
      <c r="BR241">
        <v>0</v>
      </c>
      <c r="BS241">
        <v>1</v>
      </c>
      <c r="BT241">
        <v>1</v>
      </c>
      <c r="BU241">
        <v>1</v>
      </c>
      <c r="BV241">
        <v>1</v>
      </c>
      <c r="BW241">
        <v>1</v>
      </c>
      <c r="BX241">
        <v>1</v>
      </c>
      <c r="BZ241">
        <v>0</v>
      </c>
      <c r="CA241">
        <v>0</v>
      </c>
      <c r="CF241">
        <v>0</v>
      </c>
      <c r="CG241">
        <v>0</v>
      </c>
      <c r="CM241">
        <v>0</v>
      </c>
      <c r="CO241">
        <v>0</v>
      </c>
      <c r="CP241">
        <f t="shared" si="212"/>
        <v>1158929.14</v>
      </c>
      <c r="CQ241">
        <f t="shared" si="213"/>
        <v>10.2828</v>
      </c>
      <c r="CR241">
        <f>((((ET241)*BB241-(EU241)*BS241)+AE241*BS241)*AV241)</f>
        <v>0</v>
      </c>
      <c r="CS241">
        <f t="shared" si="214"/>
        <v>0</v>
      </c>
      <c r="CT241">
        <f t="shared" si="215"/>
        <v>0</v>
      </c>
      <c r="CU241">
        <f t="shared" si="216"/>
        <v>0</v>
      </c>
      <c r="CV241">
        <f t="shared" si="217"/>
        <v>0</v>
      </c>
      <c r="CW241">
        <f t="shared" si="218"/>
        <v>0</v>
      </c>
      <c r="CX241">
        <f t="shared" si="219"/>
        <v>0</v>
      </c>
      <c r="CY241">
        <f t="shared" si="220"/>
        <v>0</v>
      </c>
      <c r="CZ241">
        <f t="shared" si="221"/>
        <v>0</v>
      </c>
      <c r="DN241">
        <v>0</v>
      </c>
      <c r="DO241">
        <v>0</v>
      </c>
      <c r="DP241">
        <v>1</v>
      </c>
      <c r="DQ241">
        <v>1</v>
      </c>
      <c r="DU241">
        <v>1009</v>
      </c>
      <c r="DV241" t="s">
        <v>307</v>
      </c>
      <c r="DW241" t="s">
        <v>307</v>
      </c>
      <c r="DX241">
        <v>1</v>
      </c>
      <c r="EE241">
        <v>34319032</v>
      </c>
      <c r="EF241">
        <v>200</v>
      </c>
      <c r="EG241" t="s">
        <v>267</v>
      </c>
      <c r="EH241">
        <v>0</v>
      </c>
      <c r="EJ241">
        <v>1</v>
      </c>
      <c r="EK241">
        <v>1617</v>
      </c>
      <c r="EL241" t="s">
        <v>268</v>
      </c>
      <c r="EM241" t="s">
        <v>269</v>
      </c>
      <c r="EQ241">
        <v>0</v>
      </c>
      <c r="ER241">
        <v>23.37</v>
      </c>
      <c r="ES241">
        <v>23.37</v>
      </c>
      <c r="ET241">
        <v>0</v>
      </c>
      <c r="EU241">
        <v>0</v>
      </c>
      <c r="EV241">
        <v>0</v>
      </c>
      <c r="EW241">
        <v>0</v>
      </c>
      <c r="EX241">
        <v>0</v>
      </c>
      <c r="EY241">
        <v>0</v>
      </c>
      <c r="FQ241">
        <v>0</v>
      </c>
      <c r="FR241">
        <f t="shared" si="222"/>
        <v>0</v>
      </c>
      <c r="FS241">
        <v>0</v>
      </c>
      <c r="FX241">
        <v>0</v>
      </c>
      <c r="FY241">
        <v>0</v>
      </c>
      <c r="GD241">
        <v>0</v>
      </c>
      <c r="GF241">
        <v>-1117160571</v>
      </c>
      <c r="GG241">
        <v>2</v>
      </c>
      <c r="GH241">
        <v>1</v>
      </c>
      <c r="GI241">
        <v>2</v>
      </c>
      <c r="GJ241">
        <v>0</v>
      </c>
      <c r="GK241">
        <f>ROUND(R241*(R12)/100,2)</f>
        <v>0</v>
      </c>
      <c r="GL241">
        <f t="shared" si="223"/>
        <v>0</v>
      </c>
      <c r="GM241">
        <f t="shared" si="224"/>
        <v>1158929.14</v>
      </c>
      <c r="GN241">
        <f t="shared" si="225"/>
        <v>1158929.14</v>
      </c>
      <c r="GO241">
        <f t="shared" si="226"/>
        <v>0</v>
      </c>
      <c r="GP241">
        <f t="shared" si="227"/>
        <v>0</v>
      </c>
      <c r="GT241">
        <v>0</v>
      </c>
      <c r="GU241">
        <v>1</v>
      </c>
      <c r="GV241">
        <v>0</v>
      </c>
      <c r="GW241">
        <v>0</v>
      </c>
      <c r="GX241">
        <f t="shared" si="228"/>
        <v>0</v>
      </c>
    </row>
    <row r="242" spans="1:206" ht="12.75">
      <c r="A242">
        <v>17</v>
      </c>
      <c r="B242">
        <v>1</v>
      </c>
      <c r="E242" t="s">
        <v>309</v>
      </c>
      <c r="F242" t="s">
        <v>310</v>
      </c>
      <c r="G242" t="s">
        <v>311</v>
      </c>
      <c r="H242" t="s">
        <v>307</v>
      </c>
      <c r="I242">
        <v>2925.4</v>
      </c>
      <c r="J242">
        <v>0</v>
      </c>
      <c r="O242">
        <f t="shared" si="195"/>
        <v>4336020.86</v>
      </c>
      <c r="P242">
        <f t="shared" si="196"/>
        <v>4336020.86</v>
      </c>
      <c r="Q242">
        <f t="shared" si="197"/>
        <v>0</v>
      </c>
      <c r="R242">
        <f t="shared" si="198"/>
        <v>0</v>
      </c>
      <c r="S242">
        <f t="shared" si="199"/>
        <v>0</v>
      </c>
      <c r="T242">
        <f t="shared" si="200"/>
        <v>0</v>
      </c>
      <c r="U242">
        <f t="shared" si="201"/>
        <v>0</v>
      </c>
      <c r="V242">
        <f t="shared" si="202"/>
        <v>0</v>
      </c>
      <c r="W242">
        <f t="shared" si="203"/>
        <v>0</v>
      </c>
      <c r="X242">
        <f t="shared" si="204"/>
        <v>0</v>
      </c>
      <c r="Y242">
        <f t="shared" si="205"/>
        <v>0</v>
      </c>
      <c r="AA242">
        <v>34388368</v>
      </c>
      <c r="AB242">
        <f t="shared" si="206"/>
        <v>109.63</v>
      </c>
      <c r="AC242">
        <f t="shared" si="207"/>
        <v>109.63</v>
      </c>
      <c r="AD242">
        <f>ROUND((((ET242)-(EU242))+AE242),6)</f>
        <v>0</v>
      </c>
      <c r="AE242">
        <f t="shared" si="229"/>
        <v>0</v>
      </c>
      <c r="AF242">
        <f t="shared" si="229"/>
        <v>0</v>
      </c>
      <c r="AG242">
        <f t="shared" si="209"/>
        <v>0</v>
      </c>
      <c r="AH242">
        <f t="shared" si="230"/>
        <v>0</v>
      </c>
      <c r="AI242">
        <f t="shared" si="230"/>
        <v>0</v>
      </c>
      <c r="AJ242">
        <f t="shared" si="211"/>
        <v>0</v>
      </c>
      <c r="AK242">
        <v>109.63</v>
      </c>
      <c r="AL242">
        <v>109.63</v>
      </c>
      <c r="AM242">
        <v>0</v>
      </c>
      <c r="AN242">
        <v>0</v>
      </c>
      <c r="AO242">
        <v>0</v>
      </c>
      <c r="AP242">
        <v>0</v>
      </c>
      <c r="AQ242">
        <v>0</v>
      </c>
      <c r="AR242">
        <v>0</v>
      </c>
      <c r="AS242">
        <v>0</v>
      </c>
      <c r="AT242">
        <v>0</v>
      </c>
      <c r="AU242">
        <v>0</v>
      </c>
      <c r="AV242">
        <v>1</v>
      </c>
      <c r="AW242">
        <v>1</v>
      </c>
      <c r="AZ242">
        <v>1</v>
      </c>
      <c r="BA242">
        <v>1</v>
      </c>
      <c r="BB242">
        <v>1</v>
      </c>
      <c r="BC242">
        <v>13.52</v>
      </c>
      <c r="BH242">
        <v>3</v>
      </c>
      <c r="BI242">
        <v>1</v>
      </c>
      <c r="BJ242" t="s">
        <v>312</v>
      </c>
      <c r="BM242">
        <v>1617</v>
      </c>
      <c r="BN242">
        <v>0</v>
      </c>
      <c r="BO242" t="s">
        <v>310</v>
      </c>
      <c r="BP242">
        <v>1</v>
      </c>
      <c r="BQ242">
        <v>200</v>
      </c>
      <c r="BR242">
        <v>0</v>
      </c>
      <c r="BS242">
        <v>1</v>
      </c>
      <c r="BT242">
        <v>1</v>
      </c>
      <c r="BU242">
        <v>1</v>
      </c>
      <c r="BV242">
        <v>1</v>
      </c>
      <c r="BW242">
        <v>1</v>
      </c>
      <c r="BX242">
        <v>1</v>
      </c>
      <c r="BZ242">
        <v>0</v>
      </c>
      <c r="CA242">
        <v>0</v>
      </c>
      <c r="CF242">
        <v>0</v>
      </c>
      <c r="CG242">
        <v>0</v>
      </c>
      <c r="CM242">
        <v>0</v>
      </c>
      <c r="CO242">
        <v>0</v>
      </c>
      <c r="CP242">
        <f t="shared" si="212"/>
        <v>4336020.86</v>
      </c>
      <c r="CQ242">
        <f t="shared" si="213"/>
        <v>1482.1976</v>
      </c>
      <c r="CR242">
        <f>((((ET242)*BB242-(EU242)*BS242)+AE242*BS242)*AV242)</f>
        <v>0</v>
      </c>
      <c r="CS242">
        <f t="shared" si="214"/>
        <v>0</v>
      </c>
      <c r="CT242">
        <f t="shared" si="215"/>
        <v>0</v>
      </c>
      <c r="CU242">
        <f t="shared" si="216"/>
        <v>0</v>
      </c>
      <c r="CV242">
        <f t="shared" si="217"/>
        <v>0</v>
      </c>
      <c r="CW242">
        <f t="shared" si="218"/>
        <v>0</v>
      </c>
      <c r="CX242">
        <f t="shared" si="219"/>
        <v>0</v>
      </c>
      <c r="CY242">
        <f t="shared" si="220"/>
        <v>0</v>
      </c>
      <c r="CZ242">
        <f t="shared" si="221"/>
        <v>0</v>
      </c>
      <c r="DN242">
        <v>0</v>
      </c>
      <c r="DO242">
        <v>0</v>
      </c>
      <c r="DP242">
        <v>1</v>
      </c>
      <c r="DQ242">
        <v>1</v>
      </c>
      <c r="DU242">
        <v>1009</v>
      </c>
      <c r="DV242" t="s">
        <v>307</v>
      </c>
      <c r="DW242" t="s">
        <v>307</v>
      </c>
      <c r="DX242">
        <v>1</v>
      </c>
      <c r="EE242">
        <v>34319032</v>
      </c>
      <c r="EF242">
        <v>200</v>
      </c>
      <c r="EG242" t="s">
        <v>267</v>
      </c>
      <c r="EH242">
        <v>0</v>
      </c>
      <c r="EJ242">
        <v>1</v>
      </c>
      <c r="EK242">
        <v>1617</v>
      </c>
      <c r="EL242" t="s">
        <v>268</v>
      </c>
      <c r="EM242" t="s">
        <v>269</v>
      </c>
      <c r="EQ242">
        <v>0</v>
      </c>
      <c r="ER242">
        <v>109.63</v>
      </c>
      <c r="ES242">
        <v>109.63</v>
      </c>
      <c r="ET242">
        <v>0</v>
      </c>
      <c r="EU242">
        <v>0</v>
      </c>
      <c r="EV242">
        <v>0</v>
      </c>
      <c r="EW242">
        <v>0</v>
      </c>
      <c r="EX242">
        <v>0</v>
      </c>
      <c r="EY242">
        <v>0</v>
      </c>
      <c r="FQ242">
        <v>0</v>
      </c>
      <c r="FR242">
        <f t="shared" si="222"/>
        <v>0</v>
      </c>
      <c r="FS242">
        <v>0</v>
      </c>
      <c r="FX242">
        <v>0</v>
      </c>
      <c r="FY242">
        <v>0</v>
      </c>
      <c r="GD242">
        <v>0</v>
      </c>
      <c r="GF242">
        <v>351533442</v>
      </c>
      <c r="GG242">
        <v>2</v>
      </c>
      <c r="GH242">
        <v>1</v>
      </c>
      <c r="GI242">
        <v>2</v>
      </c>
      <c r="GJ242">
        <v>0</v>
      </c>
      <c r="GK242">
        <f>ROUND(R242*(R12)/100,2)</f>
        <v>0</v>
      </c>
      <c r="GL242">
        <f t="shared" si="223"/>
        <v>0</v>
      </c>
      <c r="GM242">
        <f t="shared" si="224"/>
        <v>4336020.86</v>
      </c>
      <c r="GN242">
        <f t="shared" si="225"/>
        <v>4336020.86</v>
      </c>
      <c r="GO242">
        <f t="shared" si="226"/>
        <v>0</v>
      </c>
      <c r="GP242">
        <f t="shared" si="227"/>
        <v>0</v>
      </c>
      <c r="GT242">
        <v>0</v>
      </c>
      <c r="GU242">
        <v>1</v>
      </c>
      <c r="GV242">
        <v>0</v>
      </c>
      <c r="GW242">
        <v>0</v>
      </c>
      <c r="GX242">
        <f t="shared" si="228"/>
        <v>0</v>
      </c>
    </row>
    <row r="243" spans="1:206" ht="12.75">
      <c r="A243">
        <v>17</v>
      </c>
      <c r="B243">
        <v>1</v>
      </c>
      <c r="E243" t="s">
        <v>313</v>
      </c>
      <c r="F243" t="s">
        <v>62</v>
      </c>
      <c r="G243" t="s">
        <v>314</v>
      </c>
      <c r="H243" t="s">
        <v>158</v>
      </c>
      <c r="I243">
        <v>1415</v>
      </c>
      <c r="J243">
        <v>0</v>
      </c>
      <c r="O243">
        <f t="shared" si="195"/>
        <v>2116846.49</v>
      </c>
      <c r="P243">
        <f t="shared" si="196"/>
        <v>2116846.49</v>
      </c>
      <c r="Q243">
        <f t="shared" si="197"/>
        <v>0</v>
      </c>
      <c r="R243">
        <f t="shared" si="198"/>
        <v>0</v>
      </c>
      <c r="S243">
        <f t="shared" si="199"/>
        <v>0</v>
      </c>
      <c r="T243">
        <f t="shared" si="200"/>
        <v>0</v>
      </c>
      <c r="U243">
        <f t="shared" si="201"/>
        <v>0</v>
      </c>
      <c r="V243">
        <f t="shared" si="202"/>
        <v>0</v>
      </c>
      <c r="W243">
        <f t="shared" si="203"/>
        <v>0</v>
      </c>
      <c r="X243">
        <f t="shared" si="204"/>
        <v>0</v>
      </c>
      <c r="Y243">
        <f t="shared" si="205"/>
        <v>0</v>
      </c>
      <c r="AA243">
        <v>34388368</v>
      </c>
      <c r="AB243">
        <f t="shared" si="206"/>
        <v>1491.53</v>
      </c>
      <c r="AC243">
        <f t="shared" si="207"/>
        <v>1491.53</v>
      </c>
      <c r="AD243">
        <f>ROUND((((ET243)-(EU243))+AE243),6)</f>
        <v>0</v>
      </c>
      <c r="AE243">
        <f t="shared" si="229"/>
        <v>0</v>
      </c>
      <c r="AF243">
        <f t="shared" si="229"/>
        <v>0</v>
      </c>
      <c r="AG243">
        <f t="shared" si="209"/>
        <v>0</v>
      </c>
      <c r="AH243">
        <f t="shared" si="230"/>
        <v>0</v>
      </c>
      <c r="AI243">
        <f t="shared" si="230"/>
        <v>0</v>
      </c>
      <c r="AJ243">
        <f t="shared" si="211"/>
        <v>0</v>
      </c>
      <c r="AK243">
        <v>1491.53</v>
      </c>
      <c r="AL243">
        <v>1491.53</v>
      </c>
      <c r="AM243">
        <v>0</v>
      </c>
      <c r="AN243">
        <v>0</v>
      </c>
      <c r="AO243">
        <v>0</v>
      </c>
      <c r="AP243">
        <v>0</v>
      </c>
      <c r="AQ243">
        <v>0</v>
      </c>
      <c r="AR243">
        <v>0</v>
      </c>
      <c r="AS243">
        <v>0</v>
      </c>
      <c r="AT243">
        <v>0</v>
      </c>
      <c r="AU243">
        <v>0</v>
      </c>
      <c r="AV243">
        <v>1</v>
      </c>
      <c r="AW243">
        <v>1.003</v>
      </c>
      <c r="AZ243">
        <v>1</v>
      </c>
      <c r="BA243">
        <v>1</v>
      </c>
      <c r="BB243">
        <v>1</v>
      </c>
      <c r="BC243">
        <v>1</v>
      </c>
      <c r="BH243">
        <v>3</v>
      </c>
      <c r="BI243">
        <v>1</v>
      </c>
      <c r="BM243">
        <v>1370</v>
      </c>
      <c r="BN243">
        <v>0</v>
      </c>
      <c r="BP243">
        <v>0</v>
      </c>
      <c r="BQ243">
        <v>30</v>
      </c>
      <c r="BR243">
        <v>0</v>
      </c>
      <c r="BS243">
        <v>1</v>
      </c>
      <c r="BT243">
        <v>1</v>
      </c>
      <c r="BU243">
        <v>1</v>
      </c>
      <c r="BV243">
        <v>1</v>
      </c>
      <c r="BW243">
        <v>1</v>
      </c>
      <c r="BX243">
        <v>1</v>
      </c>
      <c r="BZ243">
        <v>0</v>
      </c>
      <c r="CA243">
        <v>0</v>
      </c>
      <c r="CF243">
        <v>0</v>
      </c>
      <c r="CG243">
        <v>0</v>
      </c>
      <c r="CM243">
        <v>0</v>
      </c>
      <c r="CO243">
        <v>0</v>
      </c>
      <c r="CP243">
        <f t="shared" si="212"/>
        <v>2116846.49</v>
      </c>
      <c r="CQ243">
        <f t="shared" si="213"/>
        <v>1496.0045899999998</v>
      </c>
      <c r="CR243">
        <f>((((ET243)*BB243-(EU243)*BS243)+AE243*BS243)*AV243)</f>
        <v>0</v>
      </c>
      <c r="CS243">
        <f t="shared" si="214"/>
        <v>0</v>
      </c>
      <c r="CT243">
        <f t="shared" si="215"/>
        <v>0</v>
      </c>
      <c r="CU243">
        <f t="shared" si="216"/>
        <v>0</v>
      </c>
      <c r="CV243">
        <f t="shared" si="217"/>
        <v>0</v>
      </c>
      <c r="CW243">
        <f t="shared" si="218"/>
        <v>0</v>
      </c>
      <c r="CX243">
        <f t="shared" si="219"/>
        <v>0</v>
      </c>
      <c r="CY243">
        <f t="shared" si="220"/>
        <v>0</v>
      </c>
      <c r="CZ243">
        <f t="shared" si="221"/>
        <v>0</v>
      </c>
      <c r="DN243">
        <v>133</v>
      </c>
      <c r="DO243">
        <v>113</v>
      </c>
      <c r="DP243">
        <v>1.067</v>
      </c>
      <c r="DQ243">
        <v>1.003</v>
      </c>
      <c r="DU243">
        <v>1003</v>
      </c>
      <c r="DV243" t="s">
        <v>158</v>
      </c>
      <c r="DW243" t="s">
        <v>158</v>
      </c>
      <c r="DX243">
        <v>1</v>
      </c>
      <c r="EE243">
        <v>34318785</v>
      </c>
      <c r="EF243">
        <v>30</v>
      </c>
      <c r="EG243" t="s">
        <v>28</v>
      </c>
      <c r="EH243">
        <v>0</v>
      </c>
      <c r="EJ243">
        <v>1</v>
      </c>
      <c r="EK243">
        <v>1370</v>
      </c>
      <c r="EL243" t="s">
        <v>315</v>
      </c>
      <c r="EM243" t="s">
        <v>316</v>
      </c>
      <c r="EQ243">
        <v>0</v>
      </c>
      <c r="ER243">
        <v>1491.53</v>
      </c>
      <c r="ES243">
        <v>1491.53</v>
      </c>
      <c r="ET243">
        <v>0</v>
      </c>
      <c r="EU243">
        <v>0</v>
      </c>
      <c r="EV243">
        <v>0</v>
      </c>
      <c r="EW243">
        <v>0</v>
      </c>
      <c r="EX243">
        <v>0</v>
      </c>
      <c r="EY243">
        <v>0</v>
      </c>
      <c r="EZ243">
        <v>5</v>
      </c>
      <c r="FC243">
        <v>1</v>
      </c>
      <c r="FD243">
        <v>18</v>
      </c>
      <c r="FF243">
        <v>1760</v>
      </c>
      <c r="FQ243">
        <v>0</v>
      </c>
      <c r="FR243">
        <f t="shared" si="222"/>
        <v>0</v>
      </c>
      <c r="FS243">
        <v>0</v>
      </c>
      <c r="FX243">
        <v>133</v>
      </c>
      <c r="FY243">
        <v>113</v>
      </c>
      <c r="GA243" t="s">
        <v>317</v>
      </c>
      <c r="GD243">
        <v>0</v>
      </c>
      <c r="GF243">
        <v>-412336972</v>
      </c>
      <c r="GG243">
        <v>2</v>
      </c>
      <c r="GH243">
        <v>3</v>
      </c>
      <c r="GI243">
        <v>-2</v>
      </c>
      <c r="GJ243">
        <v>0</v>
      </c>
      <c r="GK243">
        <f>ROUND(R243*(R12)/100,2)</f>
        <v>0</v>
      </c>
      <c r="GL243">
        <f t="shared" si="223"/>
        <v>0</v>
      </c>
      <c r="GM243">
        <f t="shared" si="224"/>
        <v>2116846.49</v>
      </c>
      <c r="GN243">
        <f t="shared" si="225"/>
        <v>2116846.49</v>
      </c>
      <c r="GO243">
        <f t="shared" si="226"/>
        <v>0</v>
      </c>
      <c r="GP243">
        <f t="shared" si="227"/>
        <v>0</v>
      </c>
      <c r="GT243">
        <v>0</v>
      </c>
      <c r="GU243">
        <v>1</v>
      </c>
      <c r="GV243">
        <v>0</v>
      </c>
      <c r="GW243">
        <v>0</v>
      </c>
      <c r="GX243">
        <f t="shared" si="228"/>
        <v>0</v>
      </c>
    </row>
    <row r="244" spans="1:206" ht="12.75">
      <c r="A244">
        <v>17</v>
      </c>
      <c r="B244">
        <v>1</v>
      </c>
      <c r="C244">
        <f>ROW(SmtRes!A132)</f>
        <v>132</v>
      </c>
      <c r="D244">
        <f>ROW(EtalonRes!A138)</f>
        <v>138</v>
      </c>
      <c r="E244" t="s">
        <v>318</v>
      </c>
      <c r="F244" t="s">
        <v>319</v>
      </c>
      <c r="G244" t="s">
        <v>320</v>
      </c>
      <c r="H244" t="s">
        <v>296</v>
      </c>
      <c r="I244">
        <v>3</v>
      </c>
      <c r="J244">
        <v>0</v>
      </c>
      <c r="O244">
        <f t="shared" si="195"/>
        <v>5178.46</v>
      </c>
      <c r="P244">
        <f t="shared" si="196"/>
        <v>0</v>
      </c>
      <c r="Q244">
        <f t="shared" si="197"/>
        <v>4936.76</v>
      </c>
      <c r="R244">
        <f t="shared" si="198"/>
        <v>1114.9</v>
      </c>
      <c r="S244">
        <f t="shared" si="199"/>
        <v>241.7</v>
      </c>
      <c r="T244">
        <f t="shared" si="200"/>
        <v>0</v>
      </c>
      <c r="U244">
        <f t="shared" si="201"/>
        <v>0.9391589999999999</v>
      </c>
      <c r="V244">
        <f t="shared" si="202"/>
        <v>0</v>
      </c>
      <c r="W244">
        <f t="shared" si="203"/>
        <v>0</v>
      </c>
      <c r="X244">
        <f t="shared" si="204"/>
        <v>287.62</v>
      </c>
      <c r="Y244">
        <f t="shared" si="205"/>
        <v>181.28</v>
      </c>
      <c r="AA244">
        <v>34388368</v>
      </c>
      <c r="AB244">
        <f t="shared" si="206"/>
        <v>285.4415</v>
      </c>
      <c r="AC244">
        <f t="shared" si="207"/>
        <v>0</v>
      </c>
      <c r="AD244">
        <f>ROUND(((((ET244*1.15))-((EU244*1.15)))+AE244),6)</f>
        <v>281.6695</v>
      </c>
      <c r="AE244">
        <f>ROUND(((EU244*1.15)),6)</f>
        <v>17.3995</v>
      </c>
      <c r="AF244">
        <f>ROUND(((EV244*1.15)),6)</f>
        <v>3.772</v>
      </c>
      <c r="AG244">
        <f t="shared" si="209"/>
        <v>0</v>
      </c>
      <c r="AH244">
        <f>((EW244*1.15))</f>
        <v>0.299</v>
      </c>
      <c r="AI244">
        <f>((EX244*1.15))</f>
        <v>0</v>
      </c>
      <c r="AJ244">
        <f t="shared" si="211"/>
        <v>0</v>
      </c>
      <c r="AK244">
        <v>248.21</v>
      </c>
      <c r="AL244">
        <v>0</v>
      </c>
      <c r="AM244">
        <v>244.93</v>
      </c>
      <c r="AN244">
        <v>15.13</v>
      </c>
      <c r="AO244">
        <v>3.28</v>
      </c>
      <c r="AP244">
        <v>0</v>
      </c>
      <c r="AQ244">
        <v>0.26</v>
      </c>
      <c r="AR244">
        <v>0</v>
      </c>
      <c r="AS244">
        <v>0</v>
      </c>
      <c r="AT244">
        <v>119</v>
      </c>
      <c r="AU244">
        <v>75</v>
      </c>
      <c r="AV244">
        <v>1.047</v>
      </c>
      <c r="AW244">
        <v>1.079</v>
      </c>
      <c r="AZ244">
        <v>1</v>
      </c>
      <c r="BA244">
        <v>20.4</v>
      </c>
      <c r="BB244">
        <v>5.58</v>
      </c>
      <c r="BC244">
        <v>1</v>
      </c>
      <c r="BH244">
        <v>0</v>
      </c>
      <c r="BI244">
        <v>1</v>
      </c>
      <c r="BJ244" t="s">
        <v>321</v>
      </c>
      <c r="BM244">
        <v>1996</v>
      </c>
      <c r="BN244">
        <v>0</v>
      </c>
      <c r="BO244" t="s">
        <v>319</v>
      </c>
      <c r="BP244">
        <v>1</v>
      </c>
      <c r="BQ244">
        <v>30</v>
      </c>
      <c r="BR244">
        <v>0</v>
      </c>
      <c r="BS244">
        <v>20.4</v>
      </c>
      <c r="BT244">
        <v>1</v>
      </c>
      <c r="BU244">
        <v>1</v>
      </c>
      <c r="BV244">
        <v>1</v>
      </c>
      <c r="BW244">
        <v>1</v>
      </c>
      <c r="BX244">
        <v>1</v>
      </c>
      <c r="BZ244">
        <v>119</v>
      </c>
      <c r="CA244">
        <v>75</v>
      </c>
      <c r="CF244">
        <v>0</v>
      </c>
      <c r="CG244">
        <v>0</v>
      </c>
      <c r="CM244">
        <v>0</v>
      </c>
      <c r="CN244" t="s">
        <v>26</v>
      </c>
      <c r="CO244">
        <v>0</v>
      </c>
      <c r="CP244">
        <f t="shared" si="212"/>
        <v>5178.46</v>
      </c>
      <c r="CQ244">
        <f t="shared" si="213"/>
        <v>0</v>
      </c>
      <c r="CR244">
        <f>(((((ET244*1.15))*BB244-((EU244*1.15))*BS244)+AE244*BS244)*AV244)</f>
        <v>1645.5864530699996</v>
      </c>
      <c r="CS244">
        <f t="shared" si="214"/>
        <v>371.63244059999994</v>
      </c>
      <c r="CT244">
        <f t="shared" si="215"/>
        <v>80.56539359999998</v>
      </c>
      <c r="CU244">
        <f t="shared" si="216"/>
        <v>0</v>
      </c>
      <c r="CV244">
        <f t="shared" si="217"/>
        <v>0.31305299999999997</v>
      </c>
      <c r="CW244">
        <f t="shared" si="218"/>
        <v>0</v>
      </c>
      <c r="CX244">
        <f t="shared" si="219"/>
        <v>0</v>
      </c>
      <c r="CY244">
        <f t="shared" si="220"/>
        <v>287.623</v>
      </c>
      <c r="CZ244">
        <f t="shared" si="221"/>
        <v>181.27499999999998</v>
      </c>
      <c r="DE244" t="s">
        <v>27</v>
      </c>
      <c r="DF244" t="s">
        <v>27</v>
      </c>
      <c r="DG244" t="s">
        <v>27</v>
      </c>
      <c r="DI244" t="s">
        <v>27</v>
      </c>
      <c r="DJ244" t="s">
        <v>27</v>
      </c>
      <c r="DN244">
        <v>149</v>
      </c>
      <c r="DO244">
        <v>158</v>
      </c>
      <c r="DP244">
        <v>1.047</v>
      </c>
      <c r="DQ244">
        <v>1.079</v>
      </c>
      <c r="DU244">
        <v>1010</v>
      </c>
      <c r="DV244" t="s">
        <v>296</v>
      </c>
      <c r="DW244" t="s">
        <v>296</v>
      </c>
      <c r="DX244">
        <v>1</v>
      </c>
      <c r="EE244">
        <v>34319412</v>
      </c>
      <c r="EF244">
        <v>30</v>
      </c>
      <c r="EG244" t="s">
        <v>28</v>
      </c>
      <c r="EH244">
        <v>0</v>
      </c>
      <c r="EJ244">
        <v>1</v>
      </c>
      <c r="EK244">
        <v>1996</v>
      </c>
      <c r="EL244" t="s">
        <v>298</v>
      </c>
      <c r="EM244" t="s">
        <v>299</v>
      </c>
      <c r="EO244" t="s">
        <v>31</v>
      </c>
      <c r="EQ244">
        <v>0</v>
      </c>
      <c r="ER244">
        <v>248.21</v>
      </c>
      <c r="ES244">
        <v>0</v>
      </c>
      <c r="ET244">
        <v>244.93</v>
      </c>
      <c r="EU244">
        <v>15.13</v>
      </c>
      <c r="EV244">
        <v>3.28</v>
      </c>
      <c r="EW244">
        <v>0.26</v>
      </c>
      <c r="EX244">
        <v>0</v>
      </c>
      <c r="EY244">
        <v>0</v>
      </c>
      <c r="FQ244">
        <v>0</v>
      </c>
      <c r="FR244">
        <f t="shared" si="222"/>
        <v>0</v>
      </c>
      <c r="FS244">
        <v>0</v>
      </c>
      <c r="FX244">
        <v>149</v>
      </c>
      <c r="FY244">
        <v>158</v>
      </c>
      <c r="GD244">
        <v>0</v>
      </c>
      <c r="GF244">
        <v>-657062190</v>
      </c>
      <c r="GG244">
        <v>2</v>
      </c>
      <c r="GH244">
        <v>1</v>
      </c>
      <c r="GI244">
        <v>2</v>
      </c>
      <c r="GJ244">
        <v>0</v>
      </c>
      <c r="GK244">
        <f>ROUND(R244*(R12)/100,2)</f>
        <v>1861.88</v>
      </c>
      <c r="GL244">
        <f t="shared" si="223"/>
        <v>0</v>
      </c>
      <c r="GM244">
        <f t="shared" si="224"/>
        <v>7509.24</v>
      </c>
      <c r="GN244">
        <f t="shared" si="225"/>
        <v>7509.24</v>
      </c>
      <c r="GO244">
        <f t="shared" si="226"/>
        <v>0</v>
      </c>
      <c r="GP244">
        <f t="shared" si="227"/>
        <v>0</v>
      </c>
      <c r="GT244">
        <v>0</v>
      </c>
      <c r="GU244">
        <v>1</v>
      </c>
      <c r="GV244">
        <v>0</v>
      </c>
      <c r="GW244">
        <v>0</v>
      </c>
      <c r="GX244">
        <f t="shared" si="228"/>
        <v>0</v>
      </c>
    </row>
    <row r="245" spans="1:206" ht="12.75">
      <c r="A245">
        <v>17</v>
      </c>
      <c r="B245">
        <v>1</v>
      </c>
      <c r="E245" t="s">
        <v>322</v>
      </c>
      <c r="F245" t="s">
        <v>180</v>
      </c>
      <c r="G245" t="s">
        <v>181</v>
      </c>
      <c r="H245" t="s">
        <v>182</v>
      </c>
      <c r="I245">
        <f>ROUND(6/100,9)</f>
        <v>0.06</v>
      </c>
      <c r="J245">
        <v>0</v>
      </c>
      <c r="O245">
        <f t="shared" si="195"/>
        <v>3673.06</v>
      </c>
      <c r="P245">
        <f t="shared" si="196"/>
        <v>163</v>
      </c>
      <c r="Q245">
        <f t="shared" si="197"/>
        <v>346.7</v>
      </c>
      <c r="R245">
        <f t="shared" si="198"/>
        <v>91.39</v>
      </c>
      <c r="S245">
        <f t="shared" si="199"/>
        <v>3163.36</v>
      </c>
      <c r="T245">
        <f t="shared" si="200"/>
        <v>0</v>
      </c>
      <c r="U245">
        <f t="shared" si="201"/>
        <v>11.261961269999997</v>
      </c>
      <c r="V245">
        <f t="shared" si="202"/>
        <v>0</v>
      </c>
      <c r="W245">
        <f t="shared" si="203"/>
        <v>0</v>
      </c>
      <c r="X245">
        <f t="shared" si="204"/>
        <v>2847.02</v>
      </c>
      <c r="Y245">
        <f t="shared" si="205"/>
        <v>1360.24</v>
      </c>
      <c r="AA245">
        <v>34388368</v>
      </c>
      <c r="AB245">
        <f t="shared" si="206"/>
        <v>3810.382</v>
      </c>
      <c r="AC245">
        <f t="shared" si="207"/>
        <v>519.45</v>
      </c>
      <c r="AD245">
        <f>ROUND(((((ET245*1.15))-((EU245*1.15)))+AE245),6)</f>
        <v>822.503</v>
      </c>
      <c r="AE245">
        <f>ROUND(((EU245*1.15)),6)</f>
        <v>71.3115</v>
      </c>
      <c r="AF245">
        <f>ROUND(((EV245*1.15)),6)</f>
        <v>2468.429</v>
      </c>
      <c r="AG245">
        <f t="shared" si="209"/>
        <v>0</v>
      </c>
      <c r="AH245">
        <f>((EW245*1.15))</f>
        <v>179.27349999999998</v>
      </c>
      <c r="AI245">
        <f>((EX245*1.15))</f>
        <v>0</v>
      </c>
      <c r="AJ245">
        <f t="shared" si="211"/>
        <v>0</v>
      </c>
      <c r="AK245">
        <v>3381.13</v>
      </c>
      <c r="AL245">
        <v>519.45</v>
      </c>
      <c r="AM245">
        <v>715.22</v>
      </c>
      <c r="AN245">
        <v>62.01</v>
      </c>
      <c r="AO245">
        <v>2146.46</v>
      </c>
      <c r="AP245">
        <v>0</v>
      </c>
      <c r="AQ245">
        <v>155.89</v>
      </c>
      <c r="AR245">
        <v>0</v>
      </c>
      <c r="AS245">
        <v>0</v>
      </c>
      <c r="AT245">
        <v>90</v>
      </c>
      <c r="AU245">
        <v>43</v>
      </c>
      <c r="AV245">
        <v>1.047</v>
      </c>
      <c r="AW245">
        <v>1</v>
      </c>
      <c r="AZ245">
        <v>1</v>
      </c>
      <c r="BA245">
        <v>20.4</v>
      </c>
      <c r="BB245">
        <v>6.71</v>
      </c>
      <c r="BC245">
        <v>5.23</v>
      </c>
      <c r="BH245">
        <v>0</v>
      </c>
      <c r="BI245">
        <v>2</v>
      </c>
      <c r="BJ245" t="s">
        <v>183</v>
      </c>
      <c r="BM245">
        <v>1726</v>
      </c>
      <c r="BN245">
        <v>0</v>
      </c>
      <c r="BO245" t="s">
        <v>180</v>
      </c>
      <c r="BP245">
        <v>1</v>
      </c>
      <c r="BQ245">
        <v>40</v>
      </c>
      <c r="BR245">
        <v>0</v>
      </c>
      <c r="BS245">
        <v>20.4</v>
      </c>
      <c r="BT245">
        <v>1</v>
      </c>
      <c r="BU245">
        <v>1</v>
      </c>
      <c r="BV245">
        <v>1</v>
      </c>
      <c r="BW245">
        <v>1</v>
      </c>
      <c r="BX245">
        <v>1</v>
      </c>
      <c r="BZ245">
        <v>90</v>
      </c>
      <c r="CA245">
        <v>43</v>
      </c>
      <c r="CF245">
        <v>0</v>
      </c>
      <c r="CG245">
        <v>0</v>
      </c>
      <c r="CM245">
        <v>0</v>
      </c>
      <c r="CN245" t="s">
        <v>521</v>
      </c>
      <c r="CO245">
        <v>0</v>
      </c>
      <c r="CP245">
        <f t="shared" si="212"/>
        <v>3673.06</v>
      </c>
      <c r="CQ245">
        <f t="shared" si="213"/>
        <v>2716.7235000000005</v>
      </c>
      <c r="CR245">
        <f>(((((ET245*1.15))*BB245-((EU245*1.15))*BS245)+AE245*BS245)*AV245)</f>
        <v>5778.387901109999</v>
      </c>
      <c r="CS245">
        <f t="shared" si="214"/>
        <v>1523.1280661999997</v>
      </c>
      <c r="CT245">
        <f t="shared" si="215"/>
        <v>52722.6813252</v>
      </c>
      <c r="CU245">
        <f t="shared" si="216"/>
        <v>0</v>
      </c>
      <c r="CV245">
        <f t="shared" si="217"/>
        <v>187.69935449999997</v>
      </c>
      <c r="CW245">
        <f t="shared" si="218"/>
        <v>0</v>
      </c>
      <c r="CX245">
        <f t="shared" si="219"/>
        <v>0</v>
      </c>
      <c r="CY245">
        <f t="shared" si="220"/>
        <v>2847.0240000000003</v>
      </c>
      <c r="CZ245">
        <f t="shared" si="221"/>
        <v>1360.2448</v>
      </c>
      <c r="DE245" t="s">
        <v>27</v>
      </c>
      <c r="DF245" t="s">
        <v>27</v>
      </c>
      <c r="DG245" t="s">
        <v>27</v>
      </c>
      <c r="DI245" t="s">
        <v>27</v>
      </c>
      <c r="DJ245" t="s">
        <v>27</v>
      </c>
      <c r="DN245">
        <v>112</v>
      </c>
      <c r="DO245">
        <v>70</v>
      </c>
      <c r="DP245">
        <v>1.047</v>
      </c>
      <c r="DQ245">
        <v>1</v>
      </c>
      <c r="DU245">
        <v>1013</v>
      </c>
      <c r="DV245" t="s">
        <v>182</v>
      </c>
      <c r="DW245" t="s">
        <v>182</v>
      </c>
      <c r="DX245">
        <v>1</v>
      </c>
      <c r="EE245">
        <v>34319141</v>
      </c>
      <c r="EF245">
        <v>40</v>
      </c>
      <c r="EG245" t="s">
        <v>49</v>
      </c>
      <c r="EH245">
        <v>0</v>
      </c>
      <c r="EJ245">
        <v>2</v>
      </c>
      <c r="EK245">
        <v>1726</v>
      </c>
      <c r="EL245" t="s">
        <v>167</v>
      </c>
      <c r="EM245" t="s">
        <v>168</v>
      </c>
      <c r="EO245" t="s">
        <v>52</v>
      </c>
      <c r="EQ245">
        <v>0</v>
      </c>
      <c r="ER245">
        <v>3381.13</v>
      </c>
      <c r="ES245">
        <v>519.45</v>
      </c>
      <c r="ET245">
        <v>715.22</v>
      </c>
      <c r="EU245">
        <v>62.01</v>
      </c>
      <c r="EV245">
        <v>2146.46</v>
      </c>
      <c r="EW245">
        <v>155.89</v>
      </c>
      <c r="EX245">
        <v>0</v>
      </c>
      <c r="EY245">
        <v>0</v>
      </c>
      <c r="FQ245">
        <v>0</v>
      </c>
      <c r="FR245">
        <f t="shared" si="222"/>
        <v>0</v>
      </c>
      <c r="FS245">
        <v>0</v>
      </c>
      <c r="FX245">
        <v>112</v>
      </c>
      <c r="FY245">
        <v>70</v>
      </c>
      <c r="GD245">
        <v>0</v>
      </c>
      <c r="GF245">
        <v>1888042006</v>
      </c>
      <c r="GG245">
        <v>2</v>
      </c>
      <c r="GH245">
        <v>1</v>
      </c>
      <c r="GI245">
        <v>2</v>
      </c>
      <c r="GJ245">
        <v>0</v>
      </c>
      <c r="GK245">
        <f>ROUND(R245*(R12)/100,2)</f>
        <v>152.62</v>
      </c>
      <c r="GL245">
        <f t="shared" si="223"/>
        <v>0</v>
      </c>
      <c r="GM245">
        <f t="shared" si="224"/>
        <v>8032.94</v>
      </c>
      <c r="GN245">
        <f t="shared" si="225"/>
        <v>0</v>
      </c>
      <c r="GO245">
        <f t="shared" si="226"/>
        <v>8032.94</v>
      </c>
      <c r="GP245">
        <f t="shared" si="227"/>
        <v>0</v>
      </c>
      <c r="GT245">
        <v>0</v>
      </c>
      <c r="GU245">
        <v>1</v>
      </c>
      <c r="GV245">
        <v>0</v>
      </c>
      <c r="GW245">
        <v>0</v>
      </c>
      <c r="GX245">
        <f t="shared" si="228"/>
        <v>0</v>
      </c>
    </row>
    <row r="246" spans="1:206" ht="12.75">
      <c r="A246">
        <v>17</v>
      </c>
      <c r="B246">
        <v>1</v>
      </c>
      <c r="E246" t="s">
        <v>323</v>
      </c>
      <c r="F246" t="s">
        <v>62</v>
      </c>
      <c r="G246" t="s">
        <v>185</v>
      </c>
      <c r="H246" t="s">
        <v>165</v>
      </c>
      <c r="I246">
        <v>6</v>
      </c>
      <c r="J246">
        <v>0</v>
      </c>
      <c r="O246">
        <f t="shared" si="195"/>
        <v>4016.94</v>
      </c>
      <c r="P246">
        <f t="shared" si="196"/>
        <v>4016.94</v>
      </c>
      <c r="Q246">
        <f t="shared" si="197"/>
        <v>0</v>
      </c>
      <c r="R246">
        <f t="shared" si="198"/>
        <v>0</v>
      </c>
      <c r="S246">
        <f t="shared" si="199"/>
        <v>0</v>
      </c>
      <c r="T246">
        <f t="shared" si="200"/>
        <v>0</v>
      </c>
      <c r="U246">
        <f t="shared" si="201"/>
        <v>0</v>
      </c>
      <c r="V246">
        <f t="shared" si="202"/>
        <v>0</v>
      </c>
      <c r="W246">
        <f t="shared" si="203"/>
        <v>0</v>
      </c>
      <c r="X246">
        <f t="shared" si="204"/>
        <v>0</v>
      </c>
      <c r="Y246">
        <f t="shared" si="205"/>
        <v>0</v>
      </c>
      <c r="AA246">
        <v>34388368</v>
      </c>
      <c r="AB246">
        <f t="shared" si="206"/>
        <v>669.49</v>
      </c>
      <c r="AC246">
        <f t="shared" si="207"/>
        <v>669.49</v>
      </c>
      <c r="AD246">
        <f>ROUND((((ET246)-(EU246))+AE246),6)</f>
        <v>0</v>
      </c>
      <c r="AE246">
        <f>ROUND((EU246),6)</f>
        <v>0</v>
      </c>
      <c r="AF246">
        <f>ROUND((EV246),6)</f>
        <v>0</v>
      </c>
      <c r="AG246">
        <f t="shared" si="209"/>
        <v>0</v>
      </c>
      <c r="AH246">
        <f>(EW246)</f>
        <v>0</v>
      </c>
      <c r="AI246">
        <f>(EX246)</f>
        <v>0</v>
      </c>
      <c r="AJ246">
        <f t="shared" si="211"/>
        <v>0</v>
      </c>
      <c r="AK246">
        <v>669.49</v>
      </c>
      <c r="AL246">
        <v>669.49</v>
      </c>
      <c r="AM246">
        <v>0</v>
      </c>
      <c r="AN246">
        <v>0</v>
      </c>
      <c r="AO246">
        <v>0</v>
      </c>
      <c r="AP246">
        <v>0</v>
      </c>
      <c r="AQ246">
        <v>0</v>
      </c>
      <c r="AR246">
        <v>0</v>
      </c>
      <c r="AS246">
        <v>0</v>
      </c>
      <c r="AT246">
        <v>0</v>
      </c>
      <c r="AU246">
        <v>0</v>
      </c>
      <c r="AV246">
        <v>1</v>
      </c>
      <c r="AW246">
        <v>1</v>
      </c>
      <c r="AZ246">
        <v>1</v>
      </c>
      <c r="BA246">
        <v>1</v>
      </c>
      <c r="BB246">
        <v>1</v>
      </c>
      <c r="BC246">
        <v>1</v>
      </c>
      <c r="BH246">
        <v>3</v>
      </c>
      <c r="BI246">
        <v>2</v>
      </c>
      <c r="BM246">
        <v>320</v>
      </c>
      <c r="BN246">
        <v>0</v>
      </c>
      <c r="BP246">
        <v>0</v>
      </c>
      <c r="BQ246">
        <v>40</v>
      </c>
      <c r="BR246">
        <v>0</v>
      </c>
      <c r="BS246">
        <v>1</v>
      </c>
      <c r="BT246">
        <v>1</v>
      </c>
      <c r="BU246">
        <v>1</v>
      </c>
      <c r="BV246">
        <v>1</v>
      </c>
      <c r="BW246">
        <v>1</v>
      </c>
      <c r="BX246">
        <v>1</v>
      </c>
      <c r="BZ246">
        <v>0</v>
      </c>
      <c r="CA246">
        <v>0</v>
      </c>
      <c r="CF246">
        <v>0</v>
      </c>
      <c r="CG246">
        <v>0</v>
      </c>
      <c r="CM246">
        <v>0</v>
      </c>
      <c r="CO246">
        <v>0</v>
      </c>
      <c r="CP246">
        <f t="shared" si="212"/>
        <v>4016.94</v>
      </c>
      <c r="CQ246">
        <f t="shared" si="213"/>
        <v>669.49</v>
      </c>
      <c r="CR246">
        <f>((((ET246)*BB246-(EU246)*BS246)+AE246*BS246)*AV246)</f>
        <v>0</v>
      </c>
      <c r="CS246">
        <f t="shared" si="214"/>
        <v>0</v>
      </c>
      <c r="CT246">
        <f t="shared" si="215"/>
        <v>0</v>
      </c>
      <c r="CU246">
        <f t="shared" si="216"/>
        <v>0</v>
      </c>
      <c r="CV246">
        <f t="shared" si="217"/>
        <v>0</v>
      </c>
      <c r="CW246">
        <f t="shared" si="218"/>
        <v>0</v>
      </c>
      <c r="CX246">
        <f t="shared" si="219"/>
        <v>0</v>
      </c>
      <c r="CY246">
        <f t="shared" si="220"/>
        <v>0</v>
      </c>
      <c r="CZ246">
        <f t="shared" si="221"/>
        <v>0</v>
      </c>
      <c r="DN246">
        <v>112</v>
      </c>
      <c r="DO246">
        <v>70</v>
      </c>
      <c r="DP246">
        <v>1.047</v>
      </c>
      <c r="DQ246">
        <v>1</v>
      </c>
      <c r="DU246">
        <v>1013</v>
      </c>
      <c r="DV246" t="s">
        <v>165</v>
      </c>
      <c r="DW246" t="s">
        <v>165</v>
      </c>
      <c r="DX246">
        <v>1</v>
      </c>
      <c r="EE246">
        <v>34317735</v>
      </c>
      <c r="EF246">
        <v>40</v>
      </c>
      <c r="EG246" t="s">
        <v>49</v>
      </c>
      <c r="EH246">
        <v>0</v>
      </c>
      <c r="EJ246">
        <v>2</v>
      </c>
      <c r="EK246">
        <v>320</v>
      </c>
      <c r="EL246" t="s">
        <v>186</v>
      </c>
      <c r="EM246" t="s">
        <v>187</v>
      </c>
      <c r="EQ246">
        <v>0</v>
      </c>
      <c r="ER246">
        <v>669.49</v>
      </c>
      <c r="ES246">
        <v>669.49</v>
      </c>
      <c r="ET246">
        <v>0</v>
      </c>
      <c r="EU246">
        <v>0</v>
      </c>
      <c r="EV246">
        <v>0</v>
      </c>
      <c r="EW246">
        <v>0</v>
      </c>
      <c r="EX246">
        <v>0</v>
      </c>
      <c r="EY246">
        <v>0</v>
      </c>
      <c r="EZ246">
        <v>5</v>
      </c>
      <c r="FC246">
        <v>1</v>
      </c>
      <c r="FD246">
        <v>18</v>
      </c>
      <c r="FF246">
        <v>790</v>
      </c>
      <c r="FQ246">
        <v>0</v>
      </c>
      <c r="FR246">
        <f t="shared" si="222"/>
        <v>0</v>
      </c>
      <c r="FS246">
        <v>0</v>
      </c>
      <c r="FX246">
        <v>112</v>
      </c>
      <c r="FY246">
        <v>70</v>
      </c>
      <c r="GA246" t="s">
        <v>188</v>
      </c>
      <c r="GD246">
        <v>0</v>
      </c>
      <c r="GF246">
        <v>1781784302</v>
      </c>
      <c r="GG246">
        <v>2</v>
      </c>
      <c r="GH246">
        <v>3</v>
      </c>
      <c r="GI246">
        <v>-2</v>
      </c>
      <c r="GJ246">
        <v>0</v>
      </c>
      <c r="GK246">
        <f>ROUND(R246*(R12)/100,2)</f>
        <v>0</v>
      </c>
      <c r="GL246">
        <f t="shared" si="223"/>
        <v>0</v>
      </c>
      <c r="GM246">
        <f t="shared" si="224"/>
        <v>4016.94</v>
      </c>
      <c r="GN246">
        <f t="shared" si="225"/>
        <v>0</v>
      </c>
      <c r="GO246">
        <f t="shared" si="226"/>
        <v>4016.94</v>
      </c>
      <c r="GP246">
        <f t="shared" si="227"/>
        <v>0</v>
      </c>
      <c r="GT246">
        <v>0</v>
      </c>
      <c r="GU246">
        <v>1</v>
      </c>
      <c r="GV246">
        <v>0</v>
      </c>
      <c r="GW246">
        <v>0</v>
      </c>
      <c r="GX246">
        <f t="shared" si="228"/>
        <v>0</v>
      </c>
    </row>
    <row r="247" spans="1:206" ht="12.75">
      <c r="A247">
        <v>17</v>
      </c>
      <c r="B247">
        <v>1</v>
      </c>
      <c r="E247" t="s">
        <v>324</v>
      </c>
      <c r="F247" t="s">
        <v>180</v>
      </c>
      <c r="G247" t="s">
        <v>181</v>
      </c>
      <c r="H247" t="s">
        <v>182</v>
      </c>
      <c r="I247">
        <f>ROUND(6/100,9)</f>
        <v>0.06</v>
      </c>
      <c r="J247">
        <v>0</v>
      </c>
      <c r="O247">
        <f t="shared" si="195"/>
        <v>3673.06</v>
      </c>
      <c r="P247">
        <f t="shared" si="196"/>
        <v>163</v>
      </c>
      <c r="Q247">
        <f t="shared" si="197"/>
        <v>346.7</v>
      </c>
      <c r="R247">
        <f t="shared" si="198"/>
        <v>91.39</v>
      </c>
      <c r="S247">
        <f t="shared" si="199"/>
        <v>3163.36</v>
      </c>
      <c r="T247">
        <f t="shared" si="200"/>
        <v>0</v>
      </c>
      <c r="U247">
        <f t="shared" si="201"/>
        <v>11.261961269999997</v>
      </c>
      <c r="V247">
        <f t="shared" si="202"/>
        <v>0</v>
      </c>
      <c r="W247">
        <f t="shared" si="203"/>
        <v>0</v>
      </c>
      <c r="X247">
        <f t="shared" si="204"/>
        <v>2847.02</v>
      </c>
      <c r="Y247">
        <f t="shared" si="205"/>
        <v>1360.24</v>
      </c>
      <c r="AA247">
        <v>34388368</v>
      </c>
      <c r="AB247">
        <f t="shared" si="206"/>
        <v>3810.382</v>
      </c>
      <c r="AC247">
        <f t="shared" si="207"/>
        <v>519.45</v>
      </c>
      <c r="AD247">
        <f>ROUND(((((ET247*1.15))-((EU247*1.15)))+AE247),6)</f>
        <v>822.503</v>
      </c>
      <c r="AE247">
        <f>ROUND(((EU247*1.15)),6)</f>
        <v>71.3115</v>
      </c>
      <c r="AF247">
        <f>ROUND(((EV247*1.15)),6)</f>
        <v>2468.429</v>
      </c>
      <c r="AG247">
        <f t="shared" si="209"/>
        <v>0</v>
      </c>
      <c r="AH247">
        <f>((EW247*1.15))</f>
        <v>179.27349999999998</v>
      </c>
      <c r="AI247">
        <f>((EX247*1.15))</f>
        <v>0</v>
      </c>
      <c r="AJ247">
        <f t="shared" si="211"/>
        <v>0</v>
      </c>
      <c r="AK247">
        <v>3381.13</v>
      </c>
      <c r="AL247">
        <v>519.45</v>
      </c>
      <c r="AM247">
        <v>715.22</v>
      </c>
      <c r="AN247">
        <v>62.01</v>
      </c>
      <c r="AO247">
        <v>2146.46</v>
      </c>
      <c r="AP247">
        <v>0</v>
      </c>
      <c r="AQ247">
        <v>155.89</v>
      </c>
      <c r="AR247">
        <v>0</v>
      </c>
      <c r="AS247">
        <v>0</v>
      </c>
      <c r="AT247">
        <v>90</v>
      </c>
      <c r="AU247">
        <v>43</v>
      </c>
      <c r="AV247">
        <v>1.047</v>
      </c>
      <c r="AW247">
        <v>1</v>
      </c>
      <c r="AZ247">
        <v>1</v>
      </c>
      <c r="BA247">
        <v>20.4</v>
      </c>
      <c r="BB247">
        <v>6.71</v>
      </c>
      <c r="BC247">
        <v>5.23</v>
      </c>
      <c r="BH247">
        <v>0</v>
      </c>
      <c r="BI247">
        <v>2</v>
      </c>
      <c r="BJ247" t="s">
        <v>183</v>
      </c>
      <c r="BM247">
        <v>1726</v>
      </c>
      <c r="BN247">
        <v>0</v>
      </c>
      <c r="BO247" t="s">
        <v>180</v>
      </c>
      <c r="BP247">
        <v>1</v>
      </c>
      <c r="BQ247">
        <v>40</v>
      </c>
      <c r="BR247">
        <v>0</v>
      </c>
      <c r="BS247">
        <v>20.4</v>
      </c>
      <c r="BT247">
        <v>1</v>
      </c>
      <c r="BU247">
        <v>1</v>
      </c>
      <c r="BV247">
        <v>1</v>
      </c>
      <c r="BW247">
        <v>1</v>
      </c>
      <c r="BX247">
        <v>1</v>
      </c>
      <c r="BZ247">
        <v>90</v>
      </c>
      <c r="CA247">
        <v>43</v>
      </c>
      <c r="CF247">
        <v>0</v>
      </c>
      <c r="CG247">
        <v>0</v>
      </c>
      <c r="CM247">
        <v>0</v>
      </c>
      <c r="CN247" t="s">
        <v>521</v>
      </c>
      <c r="CO247">
        <v>0</v>
      </c>
      <c r="CP247">
        <f t="shared" si="212"/>
        <v>3673.06</v>
      </c>
      <c r="CQ247">
        <f t="shared" si="213"/>
        <v>2716.7235000000005</v>
      </c>
      <c r="CR247">
        <f>(((((ET247*1.15))*BB247-((EU247*1.15))*BS247)+AE247*BS247)*AV247)</f>
        <v>5778.387901109999</v>
      </c>
      <c r="CS247">
        <f t="shared" si="214"/>
        <v>1523.1280661999997</v>
      </c>
      <c r="CT247">
        <f t="shared" si="215"/>
        <v>52722.6813252</v>
      </c>
      <c r="CU247">
        <f t="shared" si="216"/>
        <v>0</v>
      </c>
      <c r="CV247">
        <f t="shared" si="217"/>
        <v>187.69935449999997</v>
      </c>
      <c r="CW247">
        <f t="shared" si="218"/>
        <v>0</v>
      </c>
      <c r="CX247">
        <f t="shared" si="219"/>
        <v>0</v>
      </c>
      <c r="CY247">
        <f t="shared" si="220"/>
        <v>2847.0240000000003</v>
      </c>
      <c r="CZ247">
        <f t="shared" si="221"/>
        <v>1360.2448</v>
      </c>
      <c r="DE247" t="s">
        <v>27</v>
      </c>
      <c r="DF247" t="s">
        <v>27</v>
      </c>
      <c r="DG247" t="s">
        <v>27</v>
      </c>
      <c r="DI247" t="s">
        <v>27</v>
      </c>
      <c r="DJ247" t="s">
        <v>27</v>
      </c>
      <c r="DN247">
        <v>112</v>
      </c>
      <c r="DO247">
        <v>70</v>
      </c>
      <c r="DP247">
        <v>1.047</v>
      </c>
      <c r="DQ247">
        <v>1</v>
      </c>
      <c r="DU247">
        <v>1013</v>
      </c>
      <c r="DV247" t="s">
        <v>182</v>
      </c>
      <c r="DW247" t="s">
        <v>182</v>
      </c>
      <c r="DX247">
        <v>1</v>
      </c>
      <c r="EE247">
        <v>34319141</v>
      </c>
      <c r="EF247">
        <v>40</v>
      </c>
      <c r="EG247" t="s">
        <v>49</v>
      </c>
      <c r="EH247">
        <v>0</v>
      </c>
      <c r="EJ247">
        <v>2</v>
      </c>
      <c r="EK247">
        <v>1726</v>
      </c>
      <c r="EL247" t="s">
        <v>167</v>
      </c>
      <c r="EM247" t="s">
        <v>168</v>
      </c>
      <c r="EO247" t="s">
        <v>52</v>
      </c>
      <c r="EQ247">
        <v>0</v>
      </c>
      <c r="ER247">
        <v>3381.13</v>
      </c>
      <c r="ES247">
        <v>519.45</v>
      </c>
      <c r="ET247">
        <v>715.22</v>
      </c>
      <c r="EU247">
        <v>62.01</v>
      </c>
      <c r="EV247">
        <v>2146.46</v>
      </c>
      <c r="EW247">
        <v>155.89</v>
      </c>
      <c r="EX247">
        <v>0</v>
      </c>
      <c r="EY247">
        <v>0</v>
      </c>
      <c r="FQ247">
        <v>0</v>
      </c>
      <c r="FR247">
        <f t="shared" si="222"/>
        <v>0</v>
      </c>
      <c r="FS247">
        <v>0</v>
      </c>
      <c r="FX247">
        <v>112</v>
      </c>
      <c r="FY247">
        <v>70</v>
      </c>
      <c r="GD247">
        <v>0</v>
      </c>
      <c r="GF247">
        <v>1888042006</v>
      </c>
      <c r="GG247">
        <v>2</v>
      </c>
      <c r="GH247">
        <v>1</v>
      </c>
      <c r="GI247">
        <v>2</v>
      </c>
      <c r="GJ247">
        <v>0</v>
      </c>
      <c r="GK247">
        <f>ROUND(R247*(R12)/100,2)</f>
        <v>152.62</v>
      </c>
      <c r="GL247">
        <f t="shared" si="223"/>
        <v>0</v>
      </c>
      <c r="GM247">
        <f t="shared" si="224"/>
        <v>8032.94</v>
      </c>
      <c r="GN247">
        <f t="shared" si="225"/>
        <v>0</v>
      </c>
      <c r="GO247">
        <f t="shared" si="226"/>
        <v>8032.94</v>
      </c>
      <c r="GP247">
        <f t="shared" si="227"/>
        <v>0</v>
      </c>
      <c r="GT247">
        <v>0</v>
      </c>
      <c r="GU247">
        <v>1</v>
      </c>
      <c r="GV247">
        <v>0</v>
      </c>
      <c r="GW247">
        <v>0</v>
      </c>
      <c r="GX247">
        <f t="shared" si="228"/>
        <v>0</v>
      </c>
    </row>
    <row r="248" spans="1:206" ht="12.75">
      <c r="A248">
        <v>17</v>
      </c>
      <c r="B248">
        <v>1</v>
      </c>
      <c r="E248" t="s">
        <v>325</v>
      </c>
      <c r="F248" t="s">
        <v>62</v>
      </c>
      <c r="G248" t="s">
        <v>326</v>
      </c>
      <c r="H248" t="s">
        <v>165</v>
      </c>
      <c r="I248">
        <v>6</v>
      </c>
      <c r="J248">
        <v>0</v>
      </c>
      <c r="O248">
        <f t="shared" si="195"/>
        <v>355.92</v>
      </c>
      <c r="P248">
        <f t="shared" si="196"/>
        <v>355.92</v>
      </c>
      <c r="Q248">
        <f t="shared" si="197"/>
        <v>0</v>
      </c>
      <c r="R248">
        <f t="shared" si="198"/>
        <v>0</v>
      </c>
      <c r="S248">
        <f t="shared" si="199"/>
        <v>0</v>
      </c>
      <c r="T248">
        <f t="shared" si="200"/>
        <v>0</v>
      </c>
      <c r="U248">
        <f t="shared" si="201"/>
        <v>0</v>
      </c>
      <c r="V248">
        <f t="shared" si="202"/>
        <v>0</v>
      </c>
      <c r="W248">
        <f t="shared" si="203"/>
        <v>0</v>
      </c>
      <c r="X248">
        <f t="shared" si="204"/>
        <v>0</v>
      </c>
      <c r="Y248">
        <f t="shared" si="205"/>
        <v>0</v>
      </c>
      <c r="AA248">
        <v>34388368</v>
      </c>
      <c r="AB248">
        <f t="shared" si="206"/>
        <v>59.32</v>
      </c>
      <c r="AC248">
        <f t="shared" si="207"/>
        <v>59.32</v>
      </c>
      <c r="AD248">
        <f>ROUND((((ET248)-(EU248))+AE248),6)</f>
        <v>0</v>
      </c>
      <c r="AE248">
        <f>ROUND((EU248),6)</f>
        <v>0</v>
      </c>
      <c r="AF248">
        <f>ROUND((EV248),6)</f>
        <v>0</v>
      </c>
      <c r="AG248">
        <f t="shared" si="209"/>
        <v>0</v>
      </c>
      <c r="AH248">
        <f>(EW248)</f>
        <v>0</v>
      </c>
      <c r="AI248">
        <f>(EX248)</f>
        <v>0</v>
      </c>
      <c r="AJ248">
        <f t="shared" si="211"/>
        <v>0</v>
      </c>
      <c r="AK248">
        <v>59.32</v>
      </c>
      <c r="AL248">
        <v>59.32</v>
      </c>
      <c r="AM248">
        <v>0</v>
      </c>
      <c r="AN248">
        <v>0</v>
      </c>
      <c r="AO248">
        <v>0</v>
      </c>
      <c r="AP248">
        <v>0</v>
      </c>
      <c r="AQ248">
        <v>0</v>
      </c>
      <c r="AR248">
        <v>0</v>
      </c>
      <c r="AS248">
        <v>0</v>
      </c>
      <c r="AT248">
        <v>0</v>
      </c>
      <c r="AU248">
        <v>0</v>
      </c>
      <c r="AV248">
        <v>1</v>
      </c>
      <c r="AW248">
        <v>1</v>
      </c>
      <c r="AZ248">
        <v>1</v>
      </c>
      <c r="BA248">
        <v>1</v>
      </c>
      <c r="BB248">
        <v>1</v>
      </c>
      <c r="BC248">
        <v>1</v>
      </c>
      <c r="BH248">
        <v>3</v>
      </c>
      <c r="BI248">
        <v>2</v>
      </c>
      <c r="BM248">
        <v>320</v>
      </c>
      <c r="BN248">
        <v>0</v>
      </c>
      <c r="BP248">
        <v>0</v>
      </c>
      <c r="BQ248">
        <v>40</v>
      </c>
      <c r="BR248">
        <v>0</v>
      </c>
      <c r="BS248">
        <v>1</v>
      </c>
      <c r="BT248">
        <v>1</v>
      </c>
      <c r="BU248">
        <v>1</v>
      </c>
      <c r="BV248">
        <v>1</v>
      </c>
      <c r="BW248">
        <v>1</v>
      </c>
      <c r="BX248">
        <v>1</v>
      </c>
      <c r="BZ248">
        <v>0</v>
      </c>
      <c r="CA248">
        <v>0</v>
      </c>
      <c r="CF248">
        <v>0</v>
      </c>
      <c r="CG248">
        <v>0</v>
      </c>
      <c r="CM248">
        <v>0</v>
      </c>
      <c r="CO248">
        <v>0</v>
      </c>
      <c r="CP248">
        <f t="shared" si="212"/>
        <v>355.92</v>
      </c>
      <c r="CQ248">
        <f t="shared" si="213"/>
        <v>59.32</v>
      </c>
      <c r="CR248">
        <f>((((ET248)*BB248-(EU248)*BS248)+AE248*BS248)*AV248)</f>
        <v>0</v>
      </c>
      <c r="CS248">
        <f t="shared" si="214"/>
        <v>0</v>
      </c>
      <c r="CT248">
        <f t="shared" si="215"/>
        <v>0</v>
      </c>
      <c r="CU248">
        <f t="shared" si="216"/>
        <v>0</v>
      </c>
      <c r="CV248">
        <f t="shared" si="217"/>
        <v>0</v>
      </c>
      <c r="CW248">
        <f t="shared" si="218"/>
        <v>0</v>
      </c>
      <c r="CX248">
        <f t="shared" si="219"/>
        <v>0</v>
      </c>
      <c r="CY248">
        <f t="shared" si="220"/>
        <v>0</v>
      </c>
      <c r="CZ248">
        <f t="shared" si="221"/>
        <v>0</v>
      </c>
      <c r="DN248">
        <v>112</v>
      </c>
      <c r="DO248">
        <v>70</v>
      </c>
      <c r="DP248">
        <v>1.047</v>
      </c>
      <c r="DQ248">
        <v>1</v>
      </c>
      <c r="DU248">
        <v>1013</v>
      </c>
      <c r="DV248" t="s">
        <v>165</v>
      </c>
      <c r="DW248" t="s">
        <v>165</v>
      </c>
      <c r="DX248">
        <v>1</v>
      </c>
      <c r="EE248">
        <v>34317735</v>
      </c>
      <c r="EF248">
        <v>40</v>
      </c>
      <c r="EG248" t="s">
        <v>49</v>
      </c>
      <c r="EH248">
        <v>0</v>
      </c>
      <c r="EJ248">
        <v>2</v>
      </c>
      <c r="EK248">
        <v>320</v>
      </c>
      <c r="EL248" t="s">
        <v>186</v>
      </c>
      <c r="EM248" t="s">
        <v>187</v>
      </c>
      <c r="EQ248">
        <v>0</v>
      </c>
      <c r="ER248">
        <v>59.32</v>
      </c>
      <c r="ES248">
        <v>59.32</v>
      </c>
      <c r="ET248">
        <v>0</v>
      </c>
      <c r="EU248">
        <v>0</v>
      </c>
      <c r="EV248">
        <v>0</v>
      </c>
      <c r="EW248">
        <v>0</v>
      </c>
      <c r="EX248">
        <v>0</v>
      </c>
      <c r="EY248">
        <v>0</v>
      </c>
      <c r="EZ248">
        <v>5</v>
      </c>
      <c r="FC248">
        <v>1</v>
      </c>
      <c r="FD248">
        <v>18</v>
      </c>
      <c r="FF248">
        <v>70</v>
      </c>
      <c r="FQ248">
        <v>0</v>
      </c>
      <c r="FR248">
        <f t="shared" si="222"/>
        <v>0</v>
      </c>
      <c r="FS248">
        <v>0</v>
      </c>
      <c r="FX248">
        <v>112</v>
      </c>
      <c r="FY248">
        <v>70</v>
      </c>
      <c r="GA248" t="s">
        <v>327</v>
      </c>
      <c r="GD248">
        <v>0</v>
      </c>
      <c r="GF248">
        <v>1949907417</v>
      </c>
      <c r="GG248">
        <v>2</v>
      </c>
      <c r="GH248">
        <v>3</v>
      </c>
      <c r="GI248">
        <v>-2</v>
      </c>
      <c r="GJ248">
        <v>0</v>
      </c>
      <c r="GK248">
        <f>ROUND(R248*(R12)/100,2)</f>
        <v>0</v>
      </c>
      <c r="GL248">
        <f t="shared" si="223"/>
        <v>0</v>
      </c>
      <c r="GM248">
        <f t="shared" si="224"/>
        <v>355.92</v>
      </c>
      <c r="GN248">
        <f t="shared" si="225"/>
        <v>0</v>
      </c>
      <c r="GO248">
        <f t="shared" si="226"/>
        <v>355.92</v>
      </c>
      <c r="GP248">
        <f t="shared" si="227"/>
        <v>0</v>
      </c>
      <c r="GT248">
        <v>0</v>
      </c>
      <c r="GU248">
        <v>1</v>
      </c>
      <c r="GV248">
        <v>0</v>
      </c>
      <c r="GW248">
        <v>0</v>
      </c>
      <c r="GX248">
        <f t="shared" si="228"/>
        <v>0</v>
      </c>
    </row>
    <row r="249" spans="1:206" ht="12.75">
      <c r="A249">
        <v>17</v>
      </c>
      <c r="B249">
        <v>1</v>
      </c>
      <c r="C249">
        <f>ROW(SmtRes!A133)</f>
        <v>133</v>
      </c>
      <c r="D249">
        <f>ROW(EtalonRes!A139)</f>
        <v>139</v>
      </c>
      <c r="E249" t="s">
        <v>328</v>
      </c>
      <c r="F249" t="s">
        <v>329</v>
      </c>
      <c r="G249" t="s">
        <v>330</v>
      </c>
      <c r="H249" t="s">
        <v>331</v>
      </c>
      <c r="I249">
        <v>115</v>
      </c>
      <c r="J249">
        <v>0</v>
      </c>
      <c r="O249">
        <f t="shared" si="195"/>
        <v>7724.54</v>
      </c>
      <c r="P249">
        <f t="shared" si="196"/>
        <v>0</v>
      </c>
      <c r="Q249">
        <f t="shared" si="197"/>
        <v>7724.54</v>
      </c>
      <c r="R249">
        <f t="shared" si="198"/>
        <v>1669.62</v>
      </c>
      <c r="S249">
        <f t="shared" si="199"/>
        <v>0</v>
      </c>
      <c r="T249">
        <f t="shared" si="200"/>
        <v>0</v>
      </c>
      <c r="U249">
        <f t="shared" si="201"/>
        <v>0</v>
      </c>
      <c r="V249">
        <f t="shared" si="202"/>
        <v>0</v>
      </c>
      <c r="W249">
        <f t="shared" si="203"/>
        <v>0</v>
      </c>
      <c r="X249">
        <f t="shared" si="204"/>
        <v>0</v>
      </c>
      <c r="Y249">
        <f t="shared" si="205"/>
        <v>0</v>
      </c>
      <c r="AA249">
        <v>34388368</v>
      </c>
      <c r="AB249">
        <f t="shared" si="206"/>
        <v>29.555</v>
      </c>
      <c r="AC249">
        <f t="shared" si="207"/>
        <v>0</v>
      </c>
      <c r="AD249">
        <f>ROUND(((((ET249*1.15))-((EU249*1.15)))+AE249),6)</f>
        <v>29.555</v>
      </c>
      <c r="AE249">
        <f>ROUND(((EU249*1.15)),6)</f>
        <v>0.667</v>
      </c>
      <c r="AF249">
        <f>ROUND(((EV249*1.15)),6)</f>
        <v>0</v>
      </c>
      <c r="AG249">
        <f t="shared" si="209"/>
        <v>0</v>
      </c>
      <c r="AH249">
        <f>((EW249*1.15))</f>
        <v>0</v>
      </c>
      <c r="AI249">
        <f>((EX249*1.15))</f>
        <v>0</v>
      </c>
      <c r="AJ249">
        <f t="shared" si="211"/>
        <v>0</v>
      </c>
      <c r="AK249">
        <v>25.7</v>
      </c>
      <c r="AL249">
        <v>0</v>
      </c>
      <c r="AM249">
        <v>25.7</v>
      </c>
      <c r="AN249">
        <v>0.58</v>
      </c>
      <c r="AO249">
        <v>0</v>
      </c>
      <c r="AP249">
        <v>0</v>
      </c>
      <c r="AQ249">
        <v>0</v>
      </c>
      <c r="AR249">
        <v>0</v>
      </c>
      <c r="AS249">
        <v>0</v>
      </c>
      <c r="AT249">
        <v>106</v>
      </c>
      <c r="AU249">
        <v>53</v>
      </c>
      <c r="AV249">
        <v>1.067</v>
      </c>
      <c r="AW249">
        <v>1.003</v>
      </c>
      <c r="AZ249">
        <v>1</v>
      </c>
      <c r="BA249">
        <v>20.4</v>
      </c>
      <c r="BB249">
        <v>2.13</v>
      </c>
      <c r="BC249">
        <v>1</v>
      </c>
      <c r="BH249">
        <v>0</v>
      </c>
      <c r="BI249">
        <v>1</v>
      </c>
      <c r="BJ249" t="s">
        <v>332</v>
      </c>
      <c r="BM249">
        <v>140</v>
      </c>
      <c r="BN249">
        <v>0</v>
      </c>
      <c r="BO249" t="s">
        <v>329</v>
      </c>
      <c r="BP249">
        <v>1</v>
      </c>
      <c r="BQ249">
        <v>30</v>
      </c>
      <c r="BR249">
        <v>0</v>
      </c>
      <c r="BS249">
        <v>20.4</v>
      </c>
      <c r="BT249">
        <v>1</v>
      </c>
      <c r="BU249">
        <v>1</v>
      </c>
      <c r="BV249">
        <v>1</v>
      </c>
      <c r="BW249">
        <v>1</v>
      </c>
      <c r="BX249">
        <v>1</v>
      </c>
      <c r="BZ249">
        <v>106</v>
      </c>
      <c r="CA249">
        <v>53</v>
      </c>
      <c r="CF249">
        <v>0</v>
      </c>
      <c r="CG249">
        <v>0</v>
      </c>
      <c r="CM249">
        <v>0</v>
      </c>
      <c r="CN249" t="s">
        <v>26</v>
      </c>
      <c r="CO249">
        <v>0</v>
      </c>
      <c r="CP249">
        <f t="shared" si="212"/>
        <v>7724.54</v>
      </c>
      <c r="CQ249">
        <f t="shared" si="213"/>
        <v>0</v>
      </c>
      <c r="CR249">
        <f>(((((ET249*1.15))*BB249-((EU249*1.15))*BS249)+AE249*BS249)*AV249)</f>
        <v>67.16994404999998</v>
      </c>
      <c r="CS249">
        <f t="shared" si="214"/>
        <v>14.5184556</v>
      </c>
      <c r="CT249">
        <f t="shared" si="215"/>
        <v>0</v>
      </c>
      <c r="CU249">
        <f t="shared" si="216"/>
        <v>0</v>
      </c>
      <c r="CV249">
        <f t="shared" si="217"/>
        <v>0</v>
      </c>
      <c r="CW249">
        <f t="shared" si="218"/>
        <v>0</v>
      </c>
      <c r="CX249">
        <f t="shared" si="219"/>
        <v>0</v>
      </c>
      <c r="CY249">
        <f t="shared" si="220"/>
        <v>0</v>
      </c>
      <c r="CZ249">
        <f t="shared" si="221"/>
        <v>0</v>
      </c>
      <c r="DE249" t="s">
        <v>27</v>
      </c>
      <c r="DF249" t="s">
        <v>27</v>
      </c>
      <c r="DG249" t="s">
        <v>27</v>
      </c>
      <c r="DI249" t="s">
        <v>27</v>
      </c>
      <c r="DJ249" t="s">
        <v>27</v>
      </c>
      <c r="DN249">
        <v>133</v>
      </c>
      <c r="DO249">
        <v>113</v>
      </c>
      <c r="DP249">
        <v>1.067</v>
      </c>
      <c r="DQ249">
        <v>1.003</v>
      </c>
      <c r="DU249">
        <v>1013</v>
      </c>
      <c r="DV249" t="s">
        <v>331</v>
      </c>
      <c r="DW249" t="s">
        <v>331</v>
      </c>
      <c r="DX249">
        <v>1</v>
      </c>
      <c r="EE249">
        <v>34317555</v>
      </c>
      <c r="EF249">
        <v>30</v>
      </c>
      <c r="EG249" t="s">
        <v>28</v>
      </c>
      <c r="EH249">
        <v>0</v>
      </c>
      <c r="EJ249">
        <v>1</v>
      </c>
      <c r="EK249">
        <v>140</v>
      </c>
      <c r="EL249" t="s">
        <v>333</v>
      </c>
      <c r="EM249" t="s">
        <v>334</v>
      </c>
      <c r="EO249" t="s">
        <v>31</v>
      </c>
      <c r="EQ249">
        <v>0</v>
      </c>
      <c r="ER249">
        <v>25.7</v>
      </c>
      <c r="ES249">
        <v>0</v>
      </c>
      <c r="ET249">
        <v>25.7</v>
      </c>
      <c r="EU249">
        <v>0.58</v>
      </c>
      <c r="EV249">
        <v>0</v>
      </c>
      <c r="EW249">
        <v>0</v>
      </c>
      <c r="EX249">
        <v>0</v>
      </c>
      <c r="EY249">
        <v>0</v>
      </c>
      <c r="FQ249">
        <v>0</v>
      </c>
      <c r="FR249">
        <f t="shared" si="222"/>
        <v>0</v>
      </c>
      <c r="FS249">
        <v>0</v>
      </c>
      <c r="FX249">
        <v>133</v>
      </c>
      <c r="FY249">
        <v>113</v>
      </c>
      <c r="GD249">
        <v>0</v>
      </c>
      <c r="GF249">
        <v>-163581707</v>
      </c>
      <c r="GG249">
        <v>2</v>
      </c>
      <c r="GH249">
        <v>1</v>
      </c>
      <c r="GI249">
        <v>2</v>
      </c>
      <c r="GJ249">
        <v>0</v>
      </c>
      <c r="GK249">
        <f>ROUND(R249*(R12)/100,2)</f>
        <v>2788.27</v>
      </c>
      <c r="GL249">
        <f t="shared" si="223"/>
        <v>0</v>
      </c>
      <c r="GM249">
        <f t="shared" si="224"/>
        <v>10512.81</v>
      </c>
      <c r="GN249">
        <f t="shared" si="225"/>
        <v>10512.81</v>
      </c>
      <c r="GO249">
        <f t="shared" si="226"/>
        <v>0</v>
      </c>
      <c r="GP249">
        <f t="shared" si="227"/>
        <v>0</v>
      </c>
      <c r="GT249">
        <v>0</v>
      </c>
      <c r="GU249">
        <v>1</v>
      </c>
      <c r="GV249">
        <v>0</v>
      </c>
      <c r="GW249">
        <v>0</v>
      </c>
      <c r="GX249">
        <f t="shared" si="228"/>
        <v>0</v>
      </c>
    </row>
    <row r="250" spans="1:206" ht="12.75">
      <c r="A250">
        <v>17</v>
      </c>
      <c r="B250">
        <v>1</v>
      </c>
      <c r="C250">
        <f>ROW(SmtRes!A134)</f>
        <v>134</v>
      </c>
      <c r="D250">
        <f>ROW(EtalonRes!A140)</f>
        <v>140</v>
      </c>
      <c r="E250" t="s">
        <v>335</v>
      </c>
      <c r="F250" t="s">
        <v>66</v>
      </c>
      <c r="G250" t="s">
        <v>336</v>
      </c>
      <c r="H250" t="s">
        <v>24</v>
      </c>
      <c r="I250">
        <f>ROUND(36/100,9)</f>
        <v>0.36</v>
      </c>
      <c r="J250">
        <v>0</v>
      </c>
      <c r="O250">
        <f t="shared" si="195"/>
        <v>11079.02</v>
      </c>
      <c r="P250">
        <f t="shared" si="196"/>
        <v>0</v>
      </c>
      <c r="Q250">
        <f t="shared" si="197"/>
        <v>0</v>
      </c>
      <c r="R250">
        <f t="shared" si="198"/>
        <v>0</v>
      </c>
      <c r="S250">
        <f t="shared" si="199"/>
        <v>11079.02</v>
      </c>
      <c r="T250">
        <f t="shared" si="200"/>
        <v>0</v>
      </c>
      <c r="U250">
        <f t="shared" si="201"/>
        <v>55.30457088</v>
      </c>
      <c r="V250">
        <f t="shared" si="202"/>
        <v>0</v>
      </c>
      <c r="W250">
        <f t="shared" si="203"/>
        <v>0</v>
      </c>
      <c r="X250">
        <f t="shared" si="204"/>
        <v>9417.17</v>
      </c>
      <c r="Y250">
        <f t="shared" si="205"/>
        <v>4542.4</v>
      </c>
      <c r="AA250">
        <v>34388368</v>
      </c>
      <c r="AB250">
        <f t="shared" si="206"/>
        <v>1208.7995</v>
      </c>
      <c r="AC250">
        <f t="shared" si="207"/>
        <v>0</v>
      </c>
      <c r="AD250">
        <f>ROUND(((((ET250*1.15))-((EU250*1.15)))+AE250),6)</f>
        <v>0</v>
      </c>
      <c r="AE250">
        <f>ROUND(((EU250*1.15)),6)</f>
        <v>0</v>
      </c>
      <c r="AF250">
        <f>ROUND(((EV250*1.15)),6)</f>
        <v>1208.7995</v>
      </c>
      <c r="AG250">
        <f t="shared" si="209"/>
        <v>0</v>
      </c>
      <c r="AH250">
        <f>((EW250*1.15))</f>
        <v>123.096</v>
      </c>
      <c r="AI250">
        <f>((EX250*1.15))</f>
        <v>0</v>
      </c>
      <c r="AJ250">
        <f t="shared" si="211"/>
        <v>0</v>
      </c>
      <c r="AK250">
        <v>1051.13</v>
      </c>
      <c r="AL250">
        <v>0</v>
      </c>
      <c r="AM250">
        <v>0</v>
      </c>
      <c r="AN250">
        <v>0</v>
      </c>
      <c r="AO250">
        <v>1051.13</v>
      </c>
      <c r="AP250">
        <v>0</v>
      </c>
      <c r="AQ250">
        <v>107.04</v>
      </c>
      <c r="AR250">
        <v>0</v>
      </c>
      <c r="AS250">
        <v>0</v>
      </c>
      <c r="AT250">
        <v>85</v>
      </c>
      <c r="AU250">
        <v>41</v>
      </c>
      <c r="AV250">
        <v>1.248</v>
      </c>
      <c r="AW250">
        <v>1</v>
      </c>
      <c r="AZ250">
        <v>1</v>
      </c>
      <c r="BA250">
        <v>20.4</v>
      </c>
      <c r="BB250">
        <v>1</v>
      </c>
      <c r="BC250">
        <v>1</v>
      </c>
      <c r="BH250">
        <v>0</v>
      </c>
      <c r="BI250">
        <v>1</v>
      </c>
      <c r="BJ250" t="s">
        <v>68</v>
      </c>
      <c r="BM250">
        <v>16</v>
      </c>
      <c r="BN250">
        <v>0</v>
      </c>
      <c r="BO250" t="s">
        <v>66</v>
      </c>
      <c r="BP250">
        <v>1</v>
      </c>
      <c r="BQ250">
        <v>30</v>
      </c>
      <c r="BR250">
        <v>0</v>
      </c>
      <c r="BS250">
        <v>20.4</v>
      </c>
      <c r="BT250">
        <v>1</v>
      </c>
      <c r="BU250">
        <v>1</v>
      </c>
      <c r="BV250">
        <v>1</v>
      </c>
      <c r="BW250">
        <v>1</v>
      </c>
      <c r="BX250">
        <v>1</v>
      </c>
      <c r="BZ250">
        <v>85</v>
      </c>
      <c r="CA250">
        <v>41</v>
      </c>
      <c r="CF250">
        <v>0</v>
      </c>
      <c r="CG250">
        <v>0</v>
      </c>
      <c r="CM250">
        <v>0</v>
      </c>
      <c r="CN250" t="s">
        <v>26</v>
      </c>
      <c r="CO250">
        <v>0</v>
      </c>
      <c r="CP250">
        <f t="shared" si="212"/>
        <v>11079.02</v>
      </c>
      <c r="CQ250">
        <f t="shared" si="213"/>
        <v>0</v>
      </c>
      <c r="CR250">
        <f>(((((ET250*1.15))*BB250-((EU250*1.15))*BS250)+AE250*BS250)*AV250)</f>
        <v>0</v>
      </c>
      <c r="CS250">
        <f t="shared" si="214"/>
        <v>0</v>
      </c>
      <c r="CT250">
        <f t="shared" si="215"/>
        <v>30775.0682304</v>
      </c>
      <c r="CU250">
        <f t="shared" si="216"/>
        <v>0</v>
      </c>
      <c r="CV250">
        <f t="shared" si="217"/>
        <v>153.623808</v>
      </c>
      <c r="CW250">
        <f t="shared" si="218"/>
        <v>0</v>
      </c>
      <c r="CX250">
        <f t="shared" si="219"/>
        <v>0</v>
      </c>
      <c r="CY250">
        <f t="shared" si="220"/>
        <v>9417.167</v>
      </c>
      <c r="CZ250">
        <f t="shared" si="221"/>
        <v>4542.3982</v>
      </c>
      <c r="DE250" t="s">
        <v>27</v>
      </c>
      <c r="DF250" t="s">
        <v>27</v>
      </c>
      <c r="DG250" t="s">
        <v>27</v>
      </c>
      <c r="DI250" t="s">
        <v>27</v>
      </c>
      <c r="DJ250" t="s">
        <v>27</v>
      </c>
      <c r="DN250">
        <v>105</v>
      </c>
      <c r="DO250">
        <v>77</v>
      </c>
      <c r="DP250">
        <v>1.248</v>
      </c>
      <c r="DQ250">
        <v>1</v>
      </c>
      <c r="DU250">
        <v>1007</v>
      </c>
      <c r="DV250" t="s">
        <v>24</v>
      </c>
      <c r="DW250" t="s">
        <v>24</v>
      </c>
      <c r="DX250">
        <v>100</v>
      </c>
      <c r="EE250">
        <v>34317431</v>
      </c>
      <c r="EF250">
        <v>30</v>
      </c>
      <c r="EG250" t="s">
        <v>28</v>
      </c>
      <c r="EH250">
        <v>0</v>
      </c>
      <c r="EJ250">
        <v>1</v>
      </c>
      <c r="EK250">
        <v>16</v>
      </c>
      <c r="EL250" t="s">
        <v>29</v>
      </c>
      <c r="EM250" t="s">
        <v>30</v>
      </c>
      <c r="EO250" t="s">
        <v>31</v>
      </c>
      <c r="EQ250">
        <v>0</v>
      </c>
      <c r="ER250">
        <v>1051.13</v>
      </c>
      <c r="ES250">
        <v>0</v>
      </c>
      <c r="ET250">
        <v>0</v>
      </c>
      <c r="EU250">
        <v>0</v>
      </c>
      <c r="EV250">
        <v>1051.13</v>
      </c>
      <c r="EW250">
        <v>107.04</v>
      </c>
      <c r="EX250">
        <v>0</v>
      </c>
      <c r="EY250">
        <v>0</v>
      </c>
      <c r="FQ250">
        <v>0</v>
      </c>
      <c r="FR250">
        <f t="shared" si="222"/>
        <v>0</v>
      </c>
      <c r="FS250">
        <v>0</v>
      </c>
      <c r="FX250">
        <v>105</v>
      </c>
      <c r="FY250">
        <v>77</v>
      </c>
      <c r="GD250">
        <v>0</v>
      </c>
      <c r="GF250">
        <v>2092501538</v>
      </c>
      <c r="GG250">
        <v>2</v>
      </c>
      <c r="GH250">
        <v>1</v>
      </c>
      <c r="GI250">
        <v>2</v>
      </c>
      <c r="GJ250">
        <v>0</v>
      </c>
      <c r="GK250">
        <f>ROUND(R250*(R12)/100,2)</f>
        <v>0</v>
      </c>
      <c r="GL250">
        <f t="shared" si="223"/>
        <v>0</v>
      </c>
      <c r="GM250">
        <f t="shared" si="224"/>
        <v>25038.590000000004</v>
      </c>
      <c r="GN250">
        <f t="shared" si="225"/>
        <v>25038.59</v>
      </c>
      <c r="GO250">
        <f t="shared" si="226"/>
        <v>0</v>
      </c>
      <c r="GP250">
        <f t="shared" si="227"/>
        <v>0</v>
      </c>
      <c r="GT250">
        <v>0</v>
      </c>
      <c r="GU250">
        <v>1</v>
      </c>
      <c r="GV250">
        <v>0</v>
      </c>
      <c r="GW250">
        <v>0</v>
      </c>
      <c r="GX250">
        <f t="shared" si="228"/>
        <v>0</v>
      </c>
    </row>
    <row r="252" spans="1:118" ht="12.75">
      <c r="A252" s="2">
        <v>51</v>
      </c>
      <c r="B252" s="2">
        <f>B234</f>
        <v>1</v>
      </c>
      <c r="C252" s="2">
        <f>A234</f>
        <v>5</v>
      </c>
      <c r="D252" s="2">
        <f>ROW(A234)</f>
        <v>234</v>
      </c>
      <c r="E252" s="2"/>
      <c r="F252" s="2" t="str">
        <f>IF(F234&lt;&gt;"",F234,"")</f>
        <v>Новый подраздел</v>
      </c>
      <c r="G252" s="2" t="str">
        <f>IF(G234&lt;&gt;"",G234,"")</f>
        <v>ГНБ</v>
      </c>
      <c r="H252" s="2"/>
      <c r="I252" s="2"/>
      <c r="J252" s="2"/>
      <c r="K252" s="2"/>
      <c r="L252" s="2"/>
      <c r="M252" s="2"/>
      <c r="N252" s="2"/>
      <c r="O252" s="2">
        <f aca="true" t="shared" si="231" ref="O252:T252">ROUND(AB252,2)</f>
        <v>15185315.38</v>
      </c>
      <c r="P252" s="2">
        <f t="shared" si="231"/>
        <v>7664113.49</v>
      </c>
      <c r="Q252" s="2">
        <f t="shared" si="231"/>
        <v>6853441.28</v>
      </c>
      <c r="R252" s="2">
        <f t="shared" si="231"/>
        <v>1942690.92</v>
      </c>
      <c r="S252" s="2">
        <f t="shared" si="231"/>
        <v>667760.61</v>
      </c>
      <c r="T252" s="2">
        <f t="shared" si="231"/>
        <v>0</v>
      </c>
      <c r="U252" s="2">
        <f>AH252</f>
        <v>2385.31787532</v>
      </c>
      <c r="V252" s="2">
        <f>AI252</f>
        <v>0</v>
      </c>
      <c r="W252" s="2">
        <f>ROUND(AJ252,2)</f>
        <v>0</v>
      </c>
      <c r="X252" s="2">
        <f>ROUND(AK252,2)</f>
        <v>781713.49</v>
      </c>
      <c r="Y252" s="2">
        <f>ROUND(AL252,2)</f>
        <v>487709.03</v>
      </c>
      <c r="Z252" s="2"/>
      <c r="AA252" s="2"/>
      <c r="AB252" s="2">
        <f>ROUND(SUMIF(AA238:AA250,"=34388368",O238:O250),2)</f>
        <v>15185315.38</v>
      </c>
      <c r="AC252" s="2">
        <f>ROUND(SUMIF(AA238:AA250,"=34388368",P238:P250),2)</f>
        <v>7664113.49</v>
      </c>
      <c r="AD252" s="2">
        <f>ROUND(SUMIF(AA238:AA250,"=34388368",Q238:Q250),2)</f>
        <v>6853441.28</v>
      </c>
      <c r="AE252" s="2">
        <f>ROUND(SUMIF(AA238:AA250,"=34388368",R238:R250),2)</f>
        <v>1942690.92</v>
      </c>
      <c r="AF252" s="2">
        <f>ROUND(SUMIF(AA238:AA250,"=34388368",S238:S250),2)</f>
        <v>667760.61</v>
      </c>
      <c r="AG252" s="2">
        <f>ROUND(SUMIF(AA238:AA250,"=34388368",T238:T250),2)</f>
        <v>0</v>
      </c>
      <c r="AH252" s="2">
        <f>SUMIF(AA238:AA250,"=34388368",U238:U250)</f>
        <v>2385.31787532</v>
      </c>
      <c r="AI252" s="2">
        <f>SUMIF(AA238:AA250,"=34388368",V238:V250)</f>
        <v>0</v>
      </c>
      <c r="AJ252" s="2">
        <f>ROUND(SUMIF(AA238:AA250,"=34388368",W238:W250),2)</f>
        <v>0</v>
      </c>
      <c r="AK252" s="2">
        <f>ROUND(SUMIF(AA238:AA250,"=34388368",X238:X250),2)</f>
        <v>781713.49</v>
      </c>
      <c r="AL252" s="2">
        <f>ROUND(SUMIF(AA238:AA250,"=34388368",Y238:Y250),2)</f>
        <v>487709.03</v>
      </c>
      <c r="AM252" s="2"/>
      <c r="AN252" s="2"/>
      <c r="AO252" s="2">
        <f aca="true" t="shared" si="232" ref="AO252:AZ252">ROUND(BB252,2)</f>
        <v>0</v>
      </c>
      <c r="AP252" s="2">
        <f t="shared" si="232"/>
        <v>0</v>
      </c>
      <c r="AQ252" s="2">
        <f t="shared" si="232"/>
        <v>0</v>
      </c>
      <c r="AR252" s="2">
        <f t="shared" si="232"/>
        <v>19699031.73</v>
      </c>
      <c r="AS252" s="2">
        <f t="shared" si="232"/>
        <v>19678592.99</v>
      </c>
      <c r="AT252" s="2">
        <f t="shared" si="232"/>
        <v>20438.74</v>
      </c>
      <c r="AU252" s="2">
        <f t="shared" si="232"/>
        <v>0</v>
      </c>
      <c r="AV252" s="2">
        <f t="shared" si="232"/>
        <v>7664113.49</v>
      </c>
      <c r="AW252" s="2">
        <f t="shared" si="232"/>
        <v>7664113.49</v>
      </c>
      <c r="AX252" s="2">
        <f t="shared" si="232"/>
        <v>0</v>
      </c>
      <c r="AY252" s="2">
        <f t="shared" si="232"/>
        <v>7664113.49</v>
      </c>
      <c r="AZ252" s="2">
        <f t="shared" si="232"/>
        <v>0</v>
      </c>
      <c r="BA252" s="2"/>
      <c r="BB252" s="2">
        <f>ROUND(SUMIF(AA238:AA250,"=34388368",FQ238:FQ250),2)</f>
        <v>0</v>
      </c>
      <c r="BC252" s="2">
        <f>ROUND(SUMIF(AA238:AA250,"=34388368",FR238:FR250),2)</f>
        <v>0</v>
      </c>
      <c r="BD252" s="2">
        <f>ROUND(SUMIF(AA238:AA250,"=34388368",GL238:GL250),2)</f>
        <v>0</v>
      </c>
      <c r="BE252" s="2">
        <f>ROUND(SUMIF(AA238:AA250,"=34388368",GM238:GM250),2)</f>
        <v>19699031.73</v>
      </c>
      <c r="BF252" s="2">
        <f>ROUND(SUMIF(AA238:AA250,"=34388368",GN238:GN250),2)</f>
        <v>19678592.99</v>
      </c>
      <c r="BG252" s="2">
        <f>ROUND(SUMIF(AA238:AA250,"=34388368",GO238:GO250),2)</f>
        <v>20438.74</v>
      </c>
      <c r="BH252" s="2">
        <f>ROUND(SUMIF(AA238:AA250,"=34388368",GP238:GP250),2)</f>
        <v>0</v>
      </c>
      <c r="BI252" s="2">
        <f>AC252-BB252</f>
        <v>7664113.49</v>
      </c>
      <c r="BJ252" s="2">
        <f>AC252-BC252</f>
        <v>7664113.49</v>
      </c>
      <c r="BK252" s="2">
        <f>BB252-BD252</f>
        <v>0</v>
      </c>
      <c r="BL252" s="2">
        <f>AC252-BB252-BC252+BD252</f>
        <v>7664113.49</v>
      </c>
      <c r="BM252" s="2">
        <f>BC252-BD252</f>
        <v>0</v>
      </c>
      <c r="BN252" s="2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>
        <v>0</v>
      </c>
    </row>
    <row r="254" spans="1:16" ht="12.75">
      <c r="A254" s="4">
        <v>50</v>
      </c>
      <c r="B254" s="4">
        <v>0</v>
      </c>
      <c r="C254" s="4">
        <v>0</v>
      </c>
      <c r="D254" s="4">
        <v>1</v>
      </c>
      <c r="E254" s="4">
        <v>201</v>
      </c>
      <c r="F254" s="4">
        <f>ROUND(Source!O252,O254)</f>
        <v>15185315.38</v>
      </c>
      <c r="G254" s="4" t="s">
        <v>97</v>
      </c>
      <c r="H254" s="4" t="s">
        <v>98</v>
      </c>
      <c r="I254" s="4"/>
      <c r="J254" s="4"/>
      <c r="K254" s="4">
        <v>201</v>
      </c>
      <c r="L254" s="4">
        <v>1</v>
      </c>
      <c r="M254" s="4">
        <v>3</v>
      </c>
      <c r="N254" s="4" t="s">
        <v>6</v>
      </c>
      <c r="O254" s="4">
        <v>2</v>
      </c>
      <c r="P254" s="4"/>
    </row>
    <row r="255" spans="1:16" ht="12.75">
      <c r="A255" s="4">
        <v>50</v>
      </c>
      <c r="B255" s="4">
        <v>0</v>
      </c>
      <c r="C255" s="4">
        <v>0</v>
      </c>
      <c r="D255" s="4">
        <v>1</v>
      </c>
      <c r="E255" s="4">
        <v>202</v>
      </c>
      <c r="F255" s="4">
        <f>ROUND(Source!P252,O255)</f>
        <v>7664113.49</v>
      </c>
      <c r="G255" s="4" t="s">
        <v>99</v>
      </c>
      <c r="H255" s="4" t="s">
        <v>100</v>
      </c>
      <c r="I255" s="4"/>
      <c r="J255" s="4"/>
      <c r="K255" s="4">
        <v>202</v>
      </c>
      <c r="L255" s="4">
        <v>2</v>
      </c>
      <c r="M255" s="4">
        <v>3</v>
      </c>
      <c r="N255" s="4" t="s">
        <v>6</v>
      </c>
      <c r="O255" s="4">
        <v>2</v>
      </c>
      <c r="P255" s="4"/>
    </row>
    <row r="256" spans="1:16" ht="12.75">
      <c r="A256" s="4">
        <v>50</v>
      </c>
      <c r="B256" s="4">
        <v>0</v>
      </c>
      <c r="C256" s="4">
        <v>0</v>
      </c>
      <c r="D256" s="4">
        <v>1</v>
      </c>
      <c r="E256" s="4">
        <v>222</v>
      </c>
      <c r="F256" s="4">
        <f>ROUND(Source!AO252,O256)</f>
        <v>0</v>
      </c>
      <c r="G256" s="4" t="s">
        <v>101</v>
      </c>
      <c r="H256" s="4" t="s">
        <v>102</v>
      </c>
      <c r="I256" s="4"/>
      <c r="J256" s="4"/>
      <c r="K256" s="4">
        <v>222</v>
      </c>
      <c r="L256" s="4">
        <v>3</v>
      </c>
      <c r="M256" s="4">
        <v>3</v>
      </c>
      <c r="N256" s="4" t="s">
        <v>6</v>
      </c>
      <c r="O256" s="4">
        <v>2</v>
      </c>
      <c r="P256" s="4"/>
    </row>
    <row r="257" spans="1:16" ht="12.75">
      <c r="A257" s="4">
        <v>50</v>
      </c>
      <c r="B257" s="4">
        <v>0</v>
      </c>
      <c r="C257" s="4">
        <v>0</v>
      </c>
      <c r="D257" s="4">
        <v>1</v>
      </c>
      <c r="E257" s="4">
        <v>225</v>
      </c>
      <c r="F257" s="4">
        <f>ROUND(Source!AV252,O257)</f>
        <v>7664113.49</v>
      </c>
      <c r="G257" s="4" t="s">
        <v>103</v>
      </c>
      <c r="H257" s="4" t="s">
        <v>104</v>
      </c>
      <c r="I257" s="4"/>
      <c r="J257" s="4"/>
      <c r="K257" s="4">
        <v>225</v>
      </c>
      <c r="L257" s="4">
        <v>4</v>
      </c>
      <c r="M257" s="4">
        <v>3</v>
      </c>
      <c r="N257" s="4" t="s">
        <v>6</v>
      </c>
      <c r="O257" s="4">
        <v>2</v>
      </c>
      <c r="P257" s="4"/>
    </row>
    <row r="258" spans="1:16" ht="12.75">
      <c r="A258" s="4">
        <v>50</v>
      </c>
      <c r="B258" s="4">
        <v>0</v>
      </c>
      <c r="C258" s="4">
        <v>0</v>
      </c>
      <c r="D258" s="4">
        <v>1</v>
      </c>
      <c r="E258" s="4">
        <v>226</v>
      </c>
      <c r="F258" s="4">
        <f>ROUND(Source!AW252,O258)</f>
        <v>7664113.49</v>
      </c>
      <c r="G258" s="4" t="s">
        <v>105</v>
      </c>
      <c r="H258" s="4" t="s">
        <v>106</v>
      </c>
      <c r="I258" s="4"/>
      <c r="J258" s="4"/>
      <c r="K258" s="4">
        <v>226</v>
      </c>
      <c r="L258" s="4">
        <v>5</v>
      </c>
      <c r="M258" s="4">
        <v>3</v>
      </c>
      <c r="N258" s="4" t="s">
        <v>6</v>
      </c>
      <c r="O258" s="4">
        <v>2</v>
      </c>
      <c r="P258" s="4"/>
    </row>
    <row r="259" spans="1:16" ht="12.75">
      <c r="A259" s="4">
        <v>50</v>
      </c>
      <c r="B259" s="4">
        <v>0</v>
      </c>
      <c r="C259" s="4">
        <v>0</v>
      </c>
      <c r="D259" s="4">
        <v>1</v>
      </c>
      <c r="E259" s="4">
        <v>227</v>
      </c>
      <c r="F259" s="4">
        <f>ROUND(Source!AX252,O259)</f>
        <v>0</v>
      </c>
      <c r="G259" s="4" t="s">
        <v>107</v>
      </c>
      <c r="H259" s="4" t="s">
        <v>108</v>
      </c>
      <c r="I259" s="4"/>
      <c r="J259" s="4"/>
      <c r="K259" s="4">
        <v>227</v>
      </c>
      <c r="L259" s="4">
        <v>6</v>
      </c>
      <c r="M259" s="4">
        <v>3</v>
      </c>
      <c r="N259" s="4" t="s">
        <v>6</v>
      </c>
      <c r="O259" s="4">
        <v>2</v>
      </c>
      <c r="P259" s="4"/>
    </row>
    <row r="260" spans="1:16" ht="12.75">
      <c r="A260" s="4">
        <v>50</v>
      </c>
      <c r="B260" s="4">
        <v>0</v>
      </c>
      <c r="C260" s="4">
        <v>0</v>
      </c>
      <c r="D260" s="4">
        <v>1</v>
      </c>
      <c r="E260" s="4">
        <v>228</v>
      </c>
      <c r="F260" s="4">
        <f>ROUND(Source!AY252,O260)</f>
        <v>7664113.49</v>
      </c>
      <c r="G260" s="4" t="s">
        <v>109</v>
      </c>
      <c r="H260" s="4" t="s">
        <v>110</v>
      </c>
      <c r="I260" s="4"/>
      <c r="J260" s="4"/>
      <c r="K260" s="4">
        <v>228</v>
      </c>
      <c r="L260" s="4">
        <v>7</v>
      </c>
      <c r="M260" s="4">
        <v>3</v>
      </c>
      <c r="N260" s="4" t="s">
        <v>6</v>
      </c>
      <c r="O260" s="4">
        <v>2</v>
      </c>
      <c r="P260" s="4"/>
    </row>
    <row r="261" spans="1:16" ht="12.75">
      <c r="A261" s="4">
        <v>50</v>
      </c>
      <c r="B261" s="4">
        <v>0</v>
      </c>
      <c r="C261" s="4">
        <v>0</v>
      </c>
      <c r="D261" s="4">
        <v>1</v>
      </c>
      <c r="E261" s="4">
        <v>216</v>
      </c>
      <c r="F261" s="4">
        <f>ROUND(Source!AP252,O261)</f>
        <v>0</v>
      </c>
      <c r="G261" s="4" t="s">
        <v>111</v>
      </c>
      <c r="H261" s="4" t="s">
        <v>112</v>
      </c>
      <c r="I261" s="4"/>
      <c r="J261" s="4"/>
      <c r="K261" s="4">
        <v>216</v>
      </c>
      <c r="L261" s="4">
        <v>8</v>
      </c>
      <c r="M261" s="4">
        <v>3</v>
      </c>
      <c r="N261" s="4" t="s">
        <v>6</v>
      </c>
      <c r="O261" s="4">
        <v>2</v>
      </c>
      <c r="P261" s="4"/>
    </row>
    <row r="262" spans="1:16" ht="12.75">
      <c r="A262" s="4">
        <v>50</v>
      </c>
      <c r="B262" s="4">
        <v>0</v>
      </c>
      <c r="C262" s="4">
        <v>0</v>
      </c>
      <c r="D262" s="4">
        <v>1</v>
      </c>
      <c r="E262" s="4">
        <v>223</v>
      </c>
      <c r="F262" s="4">
        <f>ROUND(Source!AQ252,O262)</f>
        <v>0</v>
      </c>
      <c r="G262" s="4" t="s">
        <v>113</v>
      </c>
      <c r="H262" s="4" t="s">
        <v>114</v>
      </c>
      <c r="I262" s="4"/>
      <c r="J262" s="4"/>
      <c r="K262" s="4">
        <v>223</v>
      </c>
      <c r="L262" s="4">
        <v>9</v>
      </c>
      <c r="M262" s="4">
        <v>3</v>
      </c>
      <c r="N262" s="4" t="s">
        <v>6</v>
      </c>
      <c r="O262" s="4">
        <v>2</v>
      </c>
      <c r="P262" s="4"/>
    </row>
    <row r="263" spans="1:16" ht="12.75">
      <c r="A263" s="4">
        <v>50</v>
      </c>
      <c r="B263" s="4">
        <v>0</v>
      </c>
      <c r="C263" s="4">
        <v>0</v>
      </c>
      <c r="D263" s="4">
        <v>1</v>
      </c>
      <c r="E263" s="4">
        <v>229</v>
      </c>
      <c r="F263" s="4">
        <f>ROUND(Source!AZ252,O263)</f>
        <v>0</v>
      </c>
      <c r="G263" s="4" t="s">
        <v>115</v>
      </c>
      <c r="H263" s="4" t="s">
        <v>116</v>
      </c>
      <c r="I263" s="4"/>
      <c r="J263" s="4"/>
      <c r="K263" s="4">
        <v>229</v>
      </c>
      <c r="L263" s="4">
        <v>10</v>
      </c>
      <c r="M263" s="4">
        <v>3</v>
      </c>
      <c r="N263" s="4" t="s">
        <v>6</v>
      </c>
      <c r="O263" s="4">
        <v>2</v>
      </c>
      <c r="P263" s="4"/>
    </row>
    <row r="264" spans="1:16" ht="12.75">
      <c r="A264" s="4">
        <v>50</v>
      </c>
      <c r="B264" s="4">
        <v>0</v>
      </c>
      <c r="C264" s="4">
        <v>0</v>
      </c>
      <c r="D264" s="4">
        <v>1</v>
      </c>
      <c r="E264" s="4">
        <v>203</v>
      </c>
      <c r="F264" s="4">
        <f>ROUND(Source!Q252,O264)</f>
        <v>6853441.28</v>
      </c>
      <c r="G264" s="4" t="s">
        <v>117</v>
      </c>
      <c r="H264" s="4" t="s">
        <v>118</v>
      </c>
      <c r="I264" s="4"/>
      <c r="J264" s="4"/>
      <c r="K264" s="4">
        <v>203</v>
      </c>
      <c r="L264" s="4">
        <v>11</v>
      </c>
      <c r="M264" s="4">
        <v>3</v>
      </c>
      <c r="N264" s="4" t="s">
        <v>6</v>
      </c>
      <c r="O264" s="4">
        <v>2</v>
      </c>
      <c r="P264" s="4"/>
    </row>
    <row r="265" spans="1:16" ht="12.75">
      <c r="A265" s="4">
        <v>50</v>
      </c>
      <c r="B265" s="4">
        <v>0</v>
      </c>
      <c r="C265" s="4">
        <v>0</v>
      </c>
      <c r="D265" s="4">
        <v>1</v>
      </c>
      <c r="E265" s="4">
        <v>204</v>
      </c>
      <c r="F265" s="4">
        <f>ROUND(Source!R252,O265)</f>
        <v>1942690.92</v>
      </c>
      <c r="G265" s="4" t="s">
        <v>119</v>
      </c>
      <c r="H265" s="4" t="s">
        <v>120</v>
      </c>
      <c r="I265" s="4"/>
      <c r="J265" s="4"/>
      <c r="K265" s="4">
        <v>204</v>
      </c>
      <c r="L265" s="4">
        <v>12</v>
      </c>
      <c r="M265" s="4">
        <v>3</v>
      </c>
      <c r="N265" s="4" t="s">
        <v>6</v>
      </c>
      <c r="O265" s="4">
        <v>2</v>
      </c>
      <c r="P265" s="4"/>
    </row>
    <row r="266" spans="1:16" ht="12.75">
      <c r="A266" s="4">
        <v>50</v>
      </c>
      <c r="B266" s="4">
        <v>0</v>
      </c>
      <c r="C266" s="4">
        <v>0</v>
      </c>
      <c r="D266" s="4">
        <v>1</v>
      </c>
      <c r="E266" s="4">
        <v>205</v>
      </c>
      <c r="F266" s="4">
        <f>ROUND(Source!S252,O266)</f>
        <v>667760.61</v>
      </c>
      <c r="G266" s="4" t="s">
        <v>121</v>
      </c>
      <c r="H266" s="4" t="s">
        <v>122</v>
      </c>
      <c r="I266" s="4"/>
      <c r="J266" s="4"/>
      <c r="K266" s="4">
        <v>205</v>
      </c>
      <c r="L266" s="4">
        <v>13</v>
      </c>
      <c r="M266" s="4">
        <v>3</v>
      </c>
      <c r="N266" s="4" t="s">
        <v>6</v>
      </c>
      <c r="O266" s="4">
        <v>2</v>
      </c>
      <c r="P266" s="4"/>
    </row>
    <row r="267" spans="1:16" ht="12.75">
      <c r="A267" s="4">
        <v>50</v>
      </c>
      <c r="B267" s="4">
        <v>0</v>
      </c>
      <c r="C267" s="4">
        <v>0</v>
      </c>
      <c r="D267" s="4">
        <v>1</v>
      </c>
      <c r="E267" s="4">
        <v>214</v>
      </c>
      <c r="F267" s="4">
        <f>ROUND(Source!AS252,O267)</f>
        <v>19678592.99</v>
      </c>
      <c r="G267" s="4" t="s">
        <v>123</v>
      </c>
      <c r="H267" s="4" t="s">
        <v>124</v>
      </c>
      <c r="I267" s="4"/>
      <c r="J267" s="4"/>
      <c r="K267" s="4">
        <v>214</v>
      </c>
      <c r="L267" s="4">
        <v>14</v>
      </c>
      <c r="M267" s="4">
        <v>3</v>
      </c>
      <c r="N267" s="4" t="s">
        <v>6</v>
      </c>
      <c r="O267" s="4">
        <v>2</v>
      </c>
      <c r="P267" s="4"/>
    </row>
    <row r="268" spans="1:16" ht="12.75">
      <c r="A268" s="4">
        <v>50</v>
      </c>
      <c r="B268" s="4">
        <v>0</v>
      </c>
      <c r="C268" s="4">
        <v>0</v>
      </c>
      <c r="D268" s="4">
        <v>1</v>
      </c>
      <c r="E268" s="4">
        <v>215</v>
      </c>
      <c r="F268" s="4">
        <f>ROUND(Source!AT252,O268)</f>
        <v>20438.74</v>
      </c>
      <c r="G268" s="4" t="s">
        <v>125</v>
      </c>
      <c r="H268" s="4" t="s">
        <v>126</v>
      </c>
      <c r="I268" s="4"/>
      <c r="J268" s="4"/>
      <c r="K268" s="4">
        <v>215</v>
      </c>
      <c r="L268" s="4">
        <v>15</v>
      </c>
      <c r="M268" s="4">
        <v>3</v>
      </c>
      <c r="N268" s="4" t="s">
        <v>6</v>
      </c>
      <c r="O268" s="4">
        <v>2</v>
      </c>
      <c r="P268" s="4"/>
    </row>
    <row r="269" spans="1:16" ht="12.75">
      <c r="A269" s="4">
        <v>50</v>
      </c>
      <c r="B269" s="4">
        <v>0</v>
      </c>
      <c r="C269" s="4">
        <v>0</v>
      </c>
      <c r="D269" s="4">
        <v>1</v>
      </c>
      <c r="E269" s="4">
        <v>217</v>
      </c>
      <c r="F269" s="4">
        <f>ROUND(Source!AU252,O269)</f>
        <v>0</v>
      </c>
      <c r="G269" s="4" t="s">
        <v>127</v>
      </c>
      <c r="H269" s="4" t="s">
        <v>128</v>
      </c>
      <c r="I269" s="4"/>
      <c r="J269" s="4"/>
      <c r="K269" s="4">
        <v>217</v>
      </c>
      <c r="L269" s="4">
        <v>16</v>
      </c>
      <c r="M269" s="4">
        <v>3</v>
      </c>
      <c r="N269" s="4" t="s">
        <v>6</v>
      </c>
      <c r="O269" s="4">
        <v>2</v>
      </c>
      <c r="P269" s="4"/>
    </row>
    <row r="270" spans="1:16" ht="12.75">
      <c r="A270" s="4">
        <v>50</v>
      </c>
      <c r="B270" s="4">
        <v>0</v>
      </c>
      <c r="C270" s="4">
        <v>0</v>
      </c>
      <c r="D270" s="4">
        <v>1</v>
      </c>
      <c r="E270" s="4">
        <v>206</v>
      </c>
      <c r="F270" s="4">
        <f>ROUND(Source!T252,O270)</f>
        <v>0</v>
      </c>
      <c r="G270" s="4" t="s">
        <v>129</v>
      </c>
      <c r="H270" s="4" t="s">
        <v>130</v>
      </c>
      <c r="I270" s="4"/>
      <c r="J270" s="4"/>
      <c r="K270" s="4">
        <v>206</v>
      </c>
      <c r="L270" s="4">
        <v>17</v>
      </c>
      <c r="M270" s="4">
        <v>3</v>
      </c>
      <c r="N270" s="4" t="s">
        <v>6</v>
      </c>
      <c r="O270" s="4">
        <v>2</v>
      </c>
      <c r="P270" s="4"/>
    </row>
    <row r="271" spans="1:16" ht="12.75">
      <c r="A271" s="4">
        <v>50</v>
      </c>
      <c r="B271" s="4">
        <v>0</v>
      </c>
      <c r="C271" s="4">
        <v>0</v>
      </c>
      <c r="D271" s="4">
        <v>1</v>
      </c>
      <c r="E271" s="4">
        <v>207</v>
      </c>
      <c r="F271" s="4">
        <f>Source!U252</f>
        <v>2385.31787532</v>
      </c>
      <c r="G271" s="4" t="s">
        <v>131</v>
      </c>
      <c r="H271" s="4" t="s">
        <v>132</v>
      </c>
      <c r="I271" s="4"/>
      <c r="J271" s="4"/>
      <c r="K271" s="4">
        <v>207</v>
      </c>
      <c r="L271" s="4">
        <v>18</v>
      </c>
      <c r="M271" s="4">
        <v>3</v>
      </c>
      <c r="N271" s="4" t="s">
        <v>6</v>
      </c>
      <c r="O271" s="4">
        <v>-1</v>
      </c>
      <c r="P271" s="4"/>
    </row>
    <row r="272" spans="1:16" ht="12.75">
      <c r="A272" s="4">
        <v>50</v>
      </c>
      <c r="B272" s="4">
        <v>0</v>
      </c>
      <c r="C272" s="4">
        <v>0</v>
      </c>
      <c r="D272" s="4">
        <v>1</v>
      </c>
      <c r="E272" s="4">
        <v>208</v>
      </c>
      <c r="F272" s="4">
        <f>Source!V252</f>
        <v>0</v>
      </c>
      <c r="G272" s="4" t="s">
        <v>133</v>
      </c>
      <c r="H272" s="4" t="s">
        <v>134</v>
      </c>
      <c r="I272" s="4"/>
      <c r="J272" s="4"/>
      <c r="K272" s="4">
        <v>208</v>
      </c>
      <c r="L272" s="4">
        <v>19</v>
      </c>
      <c r="M272" s="4">
        <v>3</v>
      </c>
      <c r="N272" s="4" t="s">
        <v>6</v>
      </c>
      <c r="O272" s="4">
        <v>-1</v>
      </c>
      <c r="P272" s="4"/>
    </row>
    <row r="273" spans="1:16" ht="12.75">
      <c r="A273" s="4">
        <v>50</v>
      </c>
      <c r="B273" s="4">
        <v>0</v>
      </c>
      <c r="C273" s="4">
        <v>0</v>
      </c>
      <c r="D273" s="4">
        <v>1</v>
      </c>
      <c r="E273" s="4">
        <v>209</v>
      </c>
      <c r="F273" s="4">
        <f>ROUND(Source!W252,O273)</f>
        <v>0</v>
      </c>
      <c r="G273" s="4" t="s">
        <v>135</v>
      </c>
      <c r="H273" s="4" t="s">
        <v>136</v>
      </c>
      <c r="I273" s="4"/>
      <c r="J273" s="4"/>
      <c r="K273" s="4">
        <v>209</v>
      </c>
      <c r="L273" s="4">
        <v>20</v>
      </c>
      <c r="M273" s="4">
        <v>3</v>
      </c>
      <c r="N273" s="4" t="s">
        <v>6</v>
      </c>
      <c r="O273" s="4">
        <v>2</v>
      </c>
      <c r="P273" s="4"/>
    </row>
    <row r="274" spans="1:16" ht="12.75">
      <c r="A274" s="4">
        <v>50</v>
      </c>
      <c r="B274" s="4">
        <v>0</v>
      </c>
      <c r="C274" s="4">
        <v>0</v>
      </c>
      <c r="D274" s="4">
        <v>1</v>
      </c>
      <c r="E274" s="4">
        <v>210</v>
      </c>
      <c r="F274" s="4">
        <f>ROUND(Source!X252,O274)</f>
        <v>781713.49</v>
      </c>
      <c r="G274" s="4" t="s">
        <v>137</v>
      </c>
      <c r="H274" s="4" t="s">
        <v>138</v>
      </c>
      <c r="I274" s="4"/>
      <c r="J274" s="4"/>
      <c r="K274" s="4">
        <v>210</v>
      </c>
      <c r="L274" s="4">
        <v>21</v>
      </c>
      <c r="M274" s="4">
        <v>3</v>
      </c>
      <c r="N274" s="4" t="s">
        <v>6</v>
      </c>
      <c r="O274" s="4">
        <v>2</v>
      </c>
      <c r="P274" s="4"/>
    </row>
    <row r="275" spans="1:16" ht="12.75">
      <c r="A275" s="4">
        <v>50</v>
      </c>
      <c r="B275" s="4">
        <v>0</v>
      </c>
      <c r="C275" s="4">
        <v>0</v>
      </c>
      <c r="D275" s="4">
        <v>1</v>
      </c>
      <c r="E275" s="4">
        <v>211</v>
      </c>
      <c r="F275" s="4">
        <f>ROUND(Source!Y252,O275)</f>
        <v>487709.03</v>
      </c>
      <c r="G275" s="4" t="s">
        <v>139</v>
      </c>
      <c r="H275" s="4" t="s">
        <v>140</v>
      </c>
      <c r="I275" s="4"/>
      <c r="J275" s="4"/>
      <c r="K275" s="4">
        <v>211</v>
      </c>
      <c r="L275" s="4">
        <v>22</v>
      </c>
      <c r="M275" s="4">
        <v>3</v>
      </c>
      <c r="N275" s="4" t="s">
        <v>6</v>
      </c>
      <c r="O275" s="4">
        <v>2</v>
      </c>
      <c r="P275" s="4"/>
    </row>
    <row r="276" spans="1:16" ht="12.75">
      <c r="A276" s="4">
        <v>50</v>
      </c>
      <c r="B276" s="4">
        <v>0</v>
      </c>
      <c r="C276" s="4">
        <v>0</v>
      </c>
      <c r="D276" s="4">
        <v>1</v>
      </c>
      <c r="E276" s="4">
        <v>224</v>
      </c>
      <c r="F276" s="4">
        <f>ROUND(Source!AR252,O276)</f>
        <v>19699031.73</v>
      </c>
      <c r="G276" s="4" t="s">
        <v>141</v>
      </c>
      <c r="H276" s="4" t="s">
        <v>142</v>
      </c>
      <c r="I276" s="4"/>
      <c r="J276" s="4"/>
      <c r="K276" s="4">
        <v>224</v>
      </c>
      <c r="L276" s="4">
        <v>23</v>
      </c>
      <c r="M276" s="4">
        <v>3</v>
      </c>
      <c r="N276" s="4" t="s">
        <v>6</v>
      </c>
      <c r="O276" s="4">
        <v>2</v>
      </c>
      <c r="P276" s="4"/>
    </row>
    <row r="278" spans="1:88" ht="12.75">
      <c r="A278" s="1">
        <v>5</v>
      </c>
      <c r="B278" s="1">
        <v>1</v>
      </c>
      <c r="C278" s="1"/>
      <c r="D278" s="1">
        <f>ROW(A295)</f>
        <v>295</v>
      </c>
      <c r="E278" s="1"/>
      <c r="F278" s="1" t="s">
        <v>19</v>
      </c>
      <c r="G278" s="1" t="s">
        <v>337</v>
      </c>
      <c r="H278" s="1" t="s">
        <v>6</v>
      </c>
      <c r="I278" s="1">
        <v>0</v>
      </c>
      <c r="J278" s="1"/>
      <c r="K278" s="1">
        <v>0</v>
      </c>
      <c r="L278" s="1"/>
      <c r="M278" s="1"/>
      <c r="N278" s="1"/>
      <c r="O278" s="1"/>
      <c r="P278" s="1"/>
      <c r="Q278" s="1"/>
      <c r="R278" s="1"/>
      <c r="S278" s="1"/>
      <c r="T278" s="1"/>
      <c r="U278" s="1" t="s">
        <v>6</v>
      </c>
      <c r="V278" s="1">
        <v>0</v>
      </c>
      <c r="W278" s="1"/>
      <c r="X278" s="1"/>
      <c r="Y278" s="1"/>
      <c r="Z278" s="1"/>
      <c r="AA278" s="1"/>
      <c r="AB278" s="1" t="s">
        <v>6</v>
      </c>
      <c r="AC278" s="1" t="s">
        <v>6</v>
      </c>
      <c r="AD278" s="1" t="s">
        <v>6</v>
      </c>
      <c r="AE278" s="1" t="s">
        <v>6</v>
      </c>
      <c r="AF278" s="1" t="s">
        <v>6</v>
      </c>
      <c r="AG278" s="1" t="s">
        <v>6</v>
      </c>
      <c r="AH278" s="1"/>
      <c r="AI278" s="1"/>
      <c r="AJ278" s="1"/>
      <c r="AK278" s="1"/>
      <c r="AL278" s="1"/>
      <c r="AM278" s="1"/>
      <c r="AN278" s="1"/>
      <c r="AO278" s="1"/>
      <c r="AP278" s="1" t="s">
        <v>6</v>
      </c>
      <c r="AQ278" s="1" t="s">
        <v>6</v>
      </c>
      <c r="AR278" s="1" t="s">
        <v>6</v>
      </c>
      <c r="AS278" s="1"/>
      <c r="AT278" s="1"/>
      <c r="AU278" s="1"/>
      <c r="AV278" s="1"/>
      <c r="AW278" s="1"/>
      <c r="AX278" s="1"/>
      <c r="AY278" s="1"/>
      <c r="AZ278" s="1" t="s">
        <v>6</v>
      </c>
      <c r="BA278" s="1"/>
      <c r="BB278" s="1" t="s">
        <v>6</v>
      </c>
      <c r="BC278" s="1" t="s">
        <v>6</v>
      </c>
      <c r="BD278" s="1" t="s">
        <v>6</v>
      </c>
      <c r="BE278" s="1" t="s">
        <v>6</v>
      </c>
      <c r="BF278" s="1" t="s">
        <v>6</v>
      </c>
      <c r="BG278" s="1" t="s">
        <v>6</v>
      </c>
      <c r="BH278" s="1" t="s">
        <v>6</v>
      </c>
      <c r="BI278" s="1" t="s">
        <v>6</v>
      </c>
      <c r="BJ278" s="1" t="s">
        <v>6</v>
      </c>
      <c r="BK278" s="1" t="s">
        <v>6</v>
      </c>
      <c r="BL278" s="1" t="s">
        <v>6</v>
      </c>
      <c r="BM278" s="1" t="s">
        <v>6</v>
      </c>
      <c r="BN278" s="1" t="s">
        <v>6</v>
      </c>
      <c r="BO278" s="1" t="s">
        <v>6</v>
      </c>
      <c r="BP278" s="1" t="s">
        <v>6</v>
      </c>
      <c r="BQ278" s="1"/>
      <c r="BR278" s="1"/>
      <c r="BS278" s="1"/>
      <c r="BT278" s="1"/>
      <c r="BU278" s="1"/>
      <c r="BV278" s="1"/>
      <c r="BW278" s="1"/>
      <c r="BX278" s="1">
        <v>0</v>
      </c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>
        <v>0</v>
      </c>
    </row>
    <row r="280" spans="1:118" ht="12.75">
      <c r="A280" s="2">
        <v>52</v>
      </c>
      <c r="B280" s="2">
        <f aca="true" t="shared" si="233" ref="B280:G280">B295</f>
        <v>1</v>
      </c>
      <c r="C280" s="2">
        <f t="shared" si="233"/>
        <v>5</v>
      </c>
      <c r="D280" s="2">
        <f t="shared" si="233"/>
        <v>278</v>
      </c>
      <c r="E280" s="2">
        <f t="shared" si="233"/>
        <v>0</v>
      </c>
      <c r="F280" s="2" t="str">
        <f t="shared" si="233"/>
        <v>Новый подраздел</v>
      </c>
      <c r="G280" s="2" t="str">
        <f t="shared" si="233"/>
        <v>КЛ-20 кВ по кабельному коллектору  ПК16 - ПК172</v>
      </c>
      <c r="H280" s="2"/>
      <c r="I280" s="2"/>
      <c r="J280" s="2"/>
      <c r="K280" s="2"/>
      <c r="L280" s="2"/>
      <c r="M280" s="2"/>
      <c r="N280" s="2"/>
      <c r="O280" s="2">
        <f aca="true" t="shared" si="234" ref="O280:AT280">O295</f>
        <v>9629158.98</v>
      </c>
      <c r="P280" s="2">
        <f t="shared" si="234"/>
        <v>7772363.7</v>
      </c>
      <c r="Q280" s="2">
        <f t="shared" si="234"/>
        <v>834347.4</v>
      </c>
      <c r="R280" s="2">
        <f t="shared" si="234"/>
        <v>328033.81</v>
      </c>
      <c r="S280" s="2">
        <f t="shared" si="234"/>
        <v>1022447.88</v>
      </c>
      <c r="T280" s="2">
        <f t="shared" si="234"/>
        <v>0</v>
      </c>
      <c r="U280" s="2">
        <f t="shared" si="234"/>
        <v>4059.090408455999</v>
      </c>
      <c r="V280" s="2">
        <f t="shared" si="234"/>
        <v>0</v>
      </c>
      <c r="W280" s="2">
        <f t="shared" si="234"/>
        <v>0</v>
      </c>
      <c r="X280" s="2">
        <f t="shared" si="234"/>
        <v>919794.01</v>
      </c>
      <c r="Y280" s="2">
        <f t="shared" si="234"/>
        <v>439488.95</v>
      </c>
      <c r="Z280" s="2">
        <f t="shared" si="234"/>
        <v>0</v>
      </c>
      <c r="AA280" s="2">
        <f t="shared" si="234"/>
        <v>0</v>
      </c>
      <c r="AB280" s="2">
        <f t="shared" si="234"/>
        <v>9629158.98</v>
      </c>
      <c r="AC280" s="2">
        <f t="shared" si="234"/>
        <v>7772363.7</v>
      </c>
      <c r="AD280" s="2">
        <f t="shared" si="234"/>
        <v>834347.4</v>
      </c>
      <c r="AE280" s="2">
        <f t="shared" si="234"/>
        <v>328033.81</v>
      </c>
      <c r="AF280" s="2">
        <f t="shared" si="234"/>
        <v>1022447.88</v>
      </c>
      <c r="AG280" s="2">
        <f t="shared" si="234"/>
        <v>0</v>
      </c>
      <c r="AH280" s="2">
        <f t="shared" si="234"/>
        <v>4059.090408455999</v>
      </c>
      <c r="AI280" s="2">
        <f t="shared" si="234"/>
        <v>0</v>
      </c>
      <c r="AJ280" s="2">
        <f t="shared" si="234"/>
        <v>0</v>
      </c>
      <c r="AK280" s="2">
        <f t="shared" si="234"/>
        <v>919794.01</v>
      </c>
      <c r="AL280" s="2">
        <f t="shared" si="234"/>
        <v>439488.95</v>
      </c>
      <c r="AM280" s="2">
        <f t="shared" si="234"/>
        <v>0</v>
      </c>
      <c r="AN280" s="2">
        <f t="shared" si="234"/>
        <v>0</v>
      </c>
      <c r="AO280" s="2">
        <f t="shared" si="234"/>
        <v>0</v>
      </c>
      <c r="AP280" s="2">
        <f t="shared" si="234"/>
        <v>0</v>
      </c>
      <c r="AQ280" s="2">
        <f t="shared" si="234"/>
        <v>0</v>
      </c>
      <c r="AR280" s="2">
        <f t="shared" si="234"/>
        <v>11536258.4</v>
      </c>
      <c r="AS280" s="2">
        <f t="shared" si="234"/>
        <v>5630425.78</v>
      </c>
      <c r="AT280" s="2">
        <f t="shared" si="234"/>
        <v>5905832.62</v>
      </c>
      <c r="AU280" s="2">
        <f aca="true" t="shared" si="235" ref="AU280:BZ280">AU295</f>
        <v>0</v>
      </c>
      <c r="AV280" s="2">
        <f t="shared" si="235"/>
        <v>7772363.7</v>
      </c>
      <c r="AW280" s="2">
        <f t="shared" si="235"/>
        <v>7772363.7</v>
      </c>
      <c r="AX280" s="2">
        <f t="shared" si="235"/>
        <v>0</v>
      </c>
      <c r="AY280" s="2">
        <f t="shared" si="235"/>
        <v>7772363.7</v>
      </c>
      <c r="AZ280" s="2">
        <f t="shared" si="235"/>
        <v>0</v>
      </c>
      <c r="BA280" s="2">
        <f t="shared" si="235"/>
        <v>0</v>
      </c>
      <c r="BB280" s="2">
        <f t="shared" si="235"/>
        <v>0</v>
      </c>
      <c r="BC280" s="2">
        <f t="shared" si="235"/>
        <v>0</v>
      </c>
      <c r="BD280" s="2">
        <f t="shared" si="235"/>
        <v>0</v>
      </c>
      <c r="BE280" s="2">
        <f t="shared" si="235"/>
        <v>11536258.4</v>
      </c>
      <c r="BF280" s="2">
        <f t="shared" si="235"/>
        <v>5630425.78</v>
      </c>
      <c r="BG280" s="2">
        <f t="shared" si="235"/>
        <v>5905832.62</v>
      </c>
      <c r="BH280" s="2">
        <f t="shared" si="235"/>
        <v>0</v>
      </c>
      <c r="BI280" s="2">
        <f t="shared" si="235"/>
        <v>7772363.7</v>
      </c>
      <c r="BJ280" s="2">
        <f t="shared" si="235"/>
        <v>7772363.7</v>
      </c>
      <c r="BK280" s="2">
        <f t="shared" si="235"/>
        <v>0</v>
      </c>
      <c r="BL280" s="2">
        <f t="shared" si="235"/>
        <v>7772363.7</v>
      </c>
      <c r="BM280" s="2">
        <f t="shared" si="235"/>
        <v>0</v>
      </c>
      <c r="BN280" s="2">
        <f t="shared" si="235"/>
        <v>0</v>
      </c>
      <c r="BO280" s="3">
        <f t="shared" si="235"/>
        <v>0</v>
      </c>
      <c r="BP280" s="3">
        <f t="shared" si="235"/>
        <v>0</v>
      </c>
      <c r="BQ280" s="3">
        <f t="shared" si="235"/>
        <v>0</v>
      </c>
      <c r="BR280" s="3">
        <f t="shared" si="235"/>
        <v>0</v>
      </c>
      <c r="BS280" s="3">
        <f t="shared" si="235"/>
        <v>0</v>
      </c>
      <c r="BT280" s="3">
        <f t="shared" si="235"/>
        <v>0</v>
      </c>
      <c r="BU280" s="3">
        <f t="shared" si="235"/>
        <v>0</v>
      </c>
      <c r="BV280" s="3">
        <f t="shared" si="235"/>
        <v>0</v>
      </c>
      <c r="BW280" s="3">
        <f t="shared" si="235"/>
        <v>0</v>
      </c>
      <c r="BX280" s="3">
        <f t="shared" si="235"/>
        <v>0</v>
      </c>
      <c r="BY280" s="3">
        <f t="shared" si="235"/>
        <v>0</v>
      </c>
      <c r="BZ280" s="3">
        <f t="shared" si="235"/>
        <v>0</v>
      </c>
      <c r="CA280" s="3">
        <f aca="true" t="shared" si="236" ref="CA280:DF280">CA295</f>
        <v>0</v>
      </c>
      <c r="CB280" s="3">
        <f t="shared" si="236"/>
        <v>0</v>
      </c>
      <c r="CC280" s="3">
        <f t="shared" si="236"/>
        <v>0</v>
      </c>
      <c r="CD280" s="3">
        <f t="shared" si="236"/>
        <v>0</v>
      </c>
      <c r="CE280" s="3">
        <f t="shared" si="236"/>
        <v>0</v>
      </c>
      <c r="CF280" s="3">
        <f t="shared" si="236"/>
        <v>0</v>
      </c>
      <c r="CG280" s="3">
        <f t="shared" si="236"/>
        <v>0</v>
      </c>
      <c r="CH280" s="3">
        <f t="shared" si="236"/>
        <v>0</v>
      </c>
      <c r="CI280" s="3">
        <f t="shared" si="236"/>
        <v>0</v>
      </c>
      <c r="CJ280" s="3">
        <f t="shared" si="236"/>
        <v>0</v>
      </c>
      <c r="CK280" s="3">
        <f t="shared" si="236"/>
        <v>0</v>
      </c>
      <c r="CL280" s="3">
        <f t="shared" si="236"/>
        <v>0</v>
      </c>
      <c r="CM280" s="3">
        <f t="shared" si="236"/>
        <v>0</v>
      </c>
      <c r="CN280" s="3">
        <f t="shared" si="236"/>
        <v>0</v>
      </c>
      <c r="CO280" s="3">
        <f t="shared" si="236"/>
        <v>0</v>
      </c>
      <c r="CP280" s="3">
        <f t="shared" si="236"/>
        <v>0</v>
      </c>
      <c r="CQ280" s="3">
        <f t="shared" si="236"/>
        <v>0</v>
      </c>
      <c r="CR280" s="3">
        <f t="shared" si="236"/>
        <v>0</v>
      </c>
      <c r="CS280" s="3">
        <f t="shared" si="236"/>
        <v>0</v>
      </c>
      <c r="CT280" s="3">
        <f t="shared" si="236"/>
        <v>0</v>
      </c>
      <c r="CU280" s="3">
        <f t="shared" si="236"/>
        <v>0</v>
      </c>
      <c r="CV280" s="3">
        <f t="shared" si="236"/>
        <v>0</v>
      </c>
      <c r="CW280" s="3">
        <f t="shared" si="236"/>
        <v>0</v>
      </c>
      <c r="CX280" s="3">
        <f t="shared" si="236"/>
        <v>0</v>
      </c>
      <c r="CY280" s="3">
        <f t="shared" si="236"/>
        <v>0</v>
      </c>
      <c r="CZ280" s="3">
        <f t="shared" si="236"/>
        <v>0</v>
      </c>
      <c r="DA280" s="3">
        <f t="shared" si="236"/>
        <v>0</v>
      </c>
      <c r="DB280" s="3">
        <f t="shared" si="236"/>
        <v>0</v>
      </c>
      <c r="DC280" s="3">
        <f t="shared" si="236"/>
        <v>0</v>
      </c>
      <c r="DD280" s="3">
        <f t="shared" si="236"/>
        <v>0</v>
      </c>
      <c r="DE280" s="3">
        <f t="shared" si="236"/>
        <v>0</v>
      </c>
      <c r="DF280" s="3">
        <f t="shared" si="236"/>
        <v>0</v>
      </c>
      <c r="DG280" s="3">
        <f aca="true" t="shared" si="237" ref="DG280:DN280">DG295</f>
        <v>0</v>
      </c>
      <c r="DH280" s="3">
        <f t="shared" si="237"/>
        <v>0</v>
      </c>
      <c r="DI280" s="3">
        <f t="shared" si="237"/>
        <v>0</v>
      </c>
      <c r="DJ280" s="3">
        <f t="shared" si="237"/>
        <v>0</v>
      </c>
      <c r="DK280" s="3">
        <f t="shared" si="237"/>
        <v>0</v>
      </c>
      <c r="DL280" s="3">
        <f t="shared" si="237"/>
        <v>0</v>
      </c>
      <c r="DM280" s="3">
        <f t="shared" si="237"/>
        <v>0</v>
      </c>
      <c r="DN280" s="3">
        <f t="shared" si="237"/>
        <v>0</v>
      </c>
    </row>
    <row r="282" spans="1:206" ht="12.75">
      <c r="A282">
        <v>17</v>
      </c>
      <c r="B282">
        <v>1</v>
      </c>
      <c r="C282">
        <f>ROW(SmtRes!A135)</f>
        <v>135</v>
      </c>
      <c r="E282" t="s">
        <v>338</v>
      </c>
      <c r="F282" t="s">
        <v>339</v>
      </c>
      <c r="G282" t="s">
        <v>340</v>
      </c>
      <c r="H282" t="s">
        <v>341</v>
      </c>
      <c r="I282">
        <f>ROUND(1591/100,9)</f>
        <v>15.91</v>
      </c>
      <c r="J282">
        <v>0</v>
      </c>
      <c r="O282">
        <f aca="true" t="shared" si="238" ref="O282:O293">ROUND(CP282+GX282,2)</f>
        <v>290514.83</v>
      </c>
      <c r="P282">
        <f aca="true" t="shared" si="239" ref="P282:P293">ROUND(CQ282*I282,2)</f>
        <v>10892.1</v>
      </c>
      <c r="Q282">
        <f aca="true" t="shared" si="240" ref="Q282:Q293">ROUND(CR282*I282,2)</f>
        <v>131347.85</v>
      </c>
      <c r="R282">
        <f aca="true" t="shared" si="241" ref="R282:R293">ROUND(CS282*I282,2)</f>
        <v>28330.7</v>
      </c>
      <c r="S282">
        <f aca="true" t="shared" si="242" ref="S282:S293">ROUND(CT282*I282,2)</f>
        <v>148274.88</v>
      </c>
      <c r="T282">
        <f aca="true" t="shared" si="243" ref="T282:T293">ROUND(CU282*I282,2)</f>
        <v>0</v>
      </c>
      <c r="U282">
        <f aca="true" t="shared" si="244" ref="U282:U293">CV282*I282</f>
        <v>589.4890786199999</v>
      </c>
      <c r="V282">
        <f aca="true" t="shared" si="245" ref="V282:V293">CW282*I282</f>
        <v>0</v>
      </c>
      <c r="W282">
        <f aca="true" t="shared" si="246" ref="W282:W293">ROUND(CX282*I282,2)</f>
        <v>0</v>
      </c>
      <c r="X282">
        <f aca="true" t="shared" si="247" ref="X282:X293">ROUND(CY282,2)</f>
        <v>133447.39</v>
      </c>
      <c r="Y282">
        <f aca="true" t="shared" si="248" ref="Y282:Y293">ROUND(CZ282,2)</f>
        <v>63758.2</v>
      </c>
      <c r="AA282">
        <v>34388368</v>
      </c>
      <c r="AB282">
        <f aca="true" t="shared" si="249" ref="AB282:AB293">ROUND((AC282+AD282+AF282)+GT282,6)</f>
        <v>1732.3486</v>
      </c>
      <c r="AC282">
        <f aca="true" t="shared" si="250" ref="AC282:AC293">ROUND((ES282),6)</f>
        <v>130.9</v>
      </c>
      <c r="AD282">
        <f>ROUND((((((ET282*1.2)*1.15))-(((EU282*1.2)*1.15)))+AE282),6)</f>
        <v>1181.1696</v>
      </c>
      <c r="AE282">
        <f>ROUND((((EU282*1.2)*1.15)),6)</f>
        <v>80.3022</v>
      </c>
      <c r="AF282">
        <f>ROUND((((EV282*1.2)*1.15)),6)</f>
        <v>420.279</v>
      </c>
      <c r="AG282">
        <f aca="true" t="shared" si="251" ref="AG282:AG293">ROUND((AP282),6)</f>
        <v>0</v>
      </c>
      <c r="AH282">
        <f>(((EW282*1.2)*1.15))</f>
        <v>34.08599999999999</v>
      </c>
      <c r="AI282">
        <f>(((EX282*1.2)*1.15))</f>
        <v>0</v>
      </c>
      <c r="AJ282">
        <f aca="true" t="shared" si="252" ref="AJ282:AJ293">ROUND((AS282),6)</f>
        <v>0</v>
      </c>
      <c r="AK282">
        <v>1291.37</v>
      </c>
      <c r="AL282">
        <v>130.9</v>
      </c>
      <c r="AM282">
        <v>855.92</v>
      </c>
      <c r="AN282">
        <v>58.19</v>
      </c>
      <c r="AO282">
        <v>304.55</v>
      </c>
      <c r="AP282">
        <v>0</v>
      </c>
      <c r="AQ282">
        <v>24.7</v>
      </c>
      <c r="AR282">
        <v>0</v>
      </c>
      <c r="AS282">
        <v>0</v>
      </c>
      <c r="AT282">
        <v>90</v>
      </c>
      <c r="AU282">
        <v>43</v>
      </c>
      <c r="AV282">
        <v>1.087</v>
      </c>
      <c r="AW282">
        <v>1</v>
      </c>
      <c r="AZ282">
        <v>1</v>
      </c>
      <c r="BA282">
        <v>20.4</v>
      </c>
      <c r="BB282">
        <v>6.43</v>
      </c>
      <c r="BC282">
        <v>5.23</v>
      </c>
      <c r="BH282">
        <v>0</v>
      </c>
      <c r="BI282">
        <v>2</v>
      </c>
      <c r="BJ282" t="s">
        <v>342</v>
      </c>
      <c r="BM282">
        <v>319</v>
      </c>
      <c r="BN282">
        <v>0</v>
      </c>
      <c r="BO282" t="s">
        <v>339</v>
      </c>
      <c r="BP282">
        <v>1</v>
      </c>
      <c r="BQ282">
        <v>40</v>
      </c>
      <c r="BR282">
        <v>0</v>
      </c>
      <c r="BS282">
        <v>20.4</v>
      </c>
      <c r="BT282">
        <v>1</v>
      </c>
      <c r="BU282">
        <v>1</v>
      </c>
      <c r="BV282">
        <v>1</v>
      </c>
      <c r="BW282">
        <v>1</v>
      </c>
      <c r="BX282">
        <v>1</v>
      </c>
      <c r="BZ282">
        <v>90</v>
      </c>
      <c r="CA282">
        <v>43</v>
      </c>
      <c r="CF282">
        <v>0</v>
      </c>
      <c r="CG282">
        <v>0</v>
      </c>
      <c r="CM282">
        <v>0</v>
      </c>
      <c r="CN282" t="s">
        <v>522</v>
      </c>
      <c r="CO282">
        <v>0</v>
      </c>
      <c r="CP282">
        <f aca="true" t="shared" si="253" ref="CP282:CP293">(P282+Q282+S282)</f>
        <v>290514.83</v>
      </c>
      <c r="CQ282">
        <f aca="true" t="shared" si="254" ref="CQ282:CQ293">(AC282*BC282*AW282)</f>
        <v>684.6070000000001</v>
      </c>
      <c r="CR282">
        <f>((((((ET282*1.2)*1.15))*BB282-(((EU282*1.2)*1.15))*BS282)+AE282*BS282)*AV282)</f>
        <v>8255.678613936</v>
      </c>
      <c r="CS282">
        <f aca="true" t="shared" si="255" ref="CS282:CS293">(AE282*BS282*AV282)</f>
        <v>1780.6852245599998</v>
      </c>
      <c r="CT282">
        <f aca="true" t="shared" si="256" ref="CT282:CT293">(AF282*BA282*AV282)</f>
        <v>9319.6027692</v>
      </c>
      <c r="CU282">
        <f aca="true" t="shared" si="257" ref="CU282:CU293">AG282</f>
        <v>0</v>
      </c>
      <c r="CV282">
        <f aca="true" t="shared" si="258" ref="CV282:CV293">(AH282*AV282)</f>
        <v>37.05148199999999</v>
      </c>
      <c r="CW282">
        <f aca="true" t="shared" si="259" ref="CW282:CW293">AI282</f>
        <v>0</v>
      </c>
      <c r="CX282">
        <f aca="true" t="shared" si="260" ref="CX282:CX293">AJ282</f>
        <v>0</v>
      </c>
      <c r="CY282">
        <f aca="true" t="shared" si="261" ref="CY282:CY293">S282*(BZ282/100)</f>
        <v>133447.39200000002</v>
      </c>
      <c r="CZ282">
        <f aca="true" t="shared" si="262" ref="CZ282:CZ293">S282*(CA282/100)</f>
        <v>63758.1984</v>
      </c>
      <c r="DE282" t="s">
        <v>343</v>
      </c>
      <c r="DF282" t="s">
        <v>343</v>
      </c>
      <c r="DG282" t="s">
        <v>343</v>
      </c>
      <c r="DI282" t="s">
        <v>343</v>
      </c>
      <c r="DJ282" t="s">
        <v>343</v>
      </c>
      <c r="DN282">
        <v>112</v>
      </c>
      <c r="DO282">
        <v>70</v>
      </c>
      <c r="DP282">
        <v>1.087</v>
      </c>
      <c r="DQ282">
        <v>1</v>
      </c>
      <c r="DU282">
        <v>1010</v>
      </c>
      <c r="DV282" t="s">
        <v>341</v>
      </c>
      <c r="DW282" t="s">
        <v>341</v>
      </c>
      <c r="DX282">
        <v>100</v>
      </c>
      <c r="EE282">
        <v>34317734</v>
      </c>
      <c r="EF282">
        <v>40</v>
      </c>
      <c r="EG282" t="s">
        <v>49</v>
      </c>
      <c r="EH282">
        <v>0</v>
      </c>
      <c r="EJ282">
        <v>2</v>
      </c>
      <c r="EK282">
        <v>319</v>
      </c>
      <c r="EL282" t="s">
        <v>344</v>
      </c>
      <c r="EM282" t="s">
        <v>345</v>
      </c>
      <c r="EO282" t="s">
        <v>346</v>
      </c>
      <c r="EQ282">
        <v>0</v>
      </c>
      <c r="ER282">
        <v>1291.37</v>
      </c>
      <c r="ES282">
        <v>130.9</v>
      </c>
      <c r="ET282">
        <v>855.92</v>
      </c>
      <c r="EU282">
        <v>58.19</v>
      </c>
      <c r="EV282">
        <v>304.55</v>
      </c>
      <c r="EW282">
        <v>24.7</v>
      </c>
      <c r="EX282">
        <v>0</v>
      </c>
      <c r="EY282">
        <v>0</v>
      </c>
      <c r="FQ282">
        <v>0</v>
      </c>
      <c r="FR282">
        <f aca="true" t="shared" si="263" ref="FR282:FR293">ROUND(IF(AND(BH282=3,BI282=3),P282,0),2)</f>
        <v>0</v>
      </c>
      <c r="FS282">
        <v>0</v>
      </c>
      <c r="FX282">
        <v>112</v>
      </c>
      <c r="FY282">
        <v>70</v>
      </c>
      <c r="GD282">
        <v>0</v>
      </c>
      <c r="GF282">
        <v>1364407681</v>
      </c>
      <c r="GG282">
        <v>2</v>
      </c>
      <c r="GH282">
        <v>1</v>
      </c>
      <c r="GI282">
        <v>2</v>
      </c>
      <c r="GJ282">
        <v>0</v>
      </c>
      <c r="GK282">
        <f>ROUND(R282*(R12)/100,2)</f>
        <v>47312.27</v>
      </c>
      <c r="GL282">
        <f aca="true" t="shared" si="264" ref="GL282:GL293">ROUND(IF(AND(BH282=3,BI282=3,FS282&lt;&gt;0),P282,0),2)</f>
        <v>0</v>
      </c>
      <c r="GM282">
        <f aca="true" t="shared" si="265" ref="GM282:GM293">O282+X282+Y282+GK282</f>
        <v>535032.6900000001</v>
      </c>
      <c r="GN282">
        <f aca="true" t="shared" si="266" ref="GN282:GN293">ROUND(IF(OR(BI282=0,BI282=1),O282+X282+Y282+GK282-GX282,0),2)</f>
        <v>0</v>
      </c>
      <c r="GO282">
        <f aca="true" t="shared" si="267" ref="GO282:GO293">ROUND(IF(BI282=2,O282+X282+Y282+GK282-GX282,0),2)</f>
        <v>535032.69</v>
      </c>
      <c r="GP282">
        <f aca="true" t="shared" si="268" ref="GP282:GP293">ROUND(IF(BI282=4,O282+X282+Y282+GK282,GX282),2)</f>
        <v>0</v>
      </c>
      <c r="GT282">
        <v>0</v>
      </c>
      <c r="GU282">
        <v>1</v>
      </c>
      <c r="GV282">
        <v>0</v>
      </c>
      <c r="GW282">
        <v>0</v>
      </c>
      <c r="GX282">
        <f aca="true" t="shared" si="269" ref="GX282:GX293">ROUND(GT282*GU282*I282,2)</f>
        <v>0</v>
      </c>
    </row>
    <row r="283" spans="1:206" ht="12.75">
      <c r="A283">
        <v>18</v>
      </c>
      <c r="B283">
        <v>1</v>
      </c>
      <c r="C283">
        <v>135</v>
      </c>
      <c r="E283" t="s">
        <v>347</v>
      </c>
      <c r="F283" t="s">
        <v>62</v>
      </c>
      <c r="G283" t="s">
        <v>348</v>
      </c>
      <c r="H283" t="s">
        <v>165</v>
      </c>
      <c r="I283">
        <f>I282*J283</f>
        <v>1591</v>
      </c>
      <c r="J283">
        <v>100</v>
      </c>
      <c r="O283">
        <f t="shared" si="238"/>
        <v>288543.76</v>
      </c>
      <c r="P283">
        <f t="shared" si="239"/>
        <v>288543.76</v>
      </c>
      <c r="Q283">
        <f t="shared" si="240"/>
        <v>0</v>
      </c>
      <c r="R283">
        <f t="shared" si="241"/>
        <v>0</v>
      </c>
      <c r="S283">
        <f t="shared" si="242"/>
        <v>0</v>
      </c>
      <c r="T283">
        <f t="shared" si="243"/>
        <v>0</v>
      </c>
      <c r="U283">
        <f t="shared" si="244"/>
        <v>0</v>
      </c>
      <c r="V283">
        <f t="shared" si="245"/>
        <v>0</v>
      </c>
      <c r="W283">
        <f t="shared" si="246"/>
        <v>0</v>
      </c>
      <c r="X283">
        <f t="shared" si="247"/>
        <v>0</v>
      </c>
      <c r="Y283">
        <f t="shared" si="248"/>
        <v>0</v>
      </c>
      <c r="AA283">
        <v>34388368</v>
      </c>
      <c r="AB283">
        <f t="shared" si="249"/>
        <v>181.36</v>
      </c>
      <c r="AC283">
        <f t="shared" si="250"/>
        <v>181.36</v>
      </c>
      <c r="AD283">
        <f>ROUND((((ET283)-(EU283))+AE283),6)</f>
        <v>0</v>
      </c>
      <c r="AE283">
        <f>ROUND((EU283),6)</f>
        <v>0</v>
      </c>
      <c r="AF283">
        <f>ROUND((EV283),6)</f>
        <v>0</v>
      </c>
      <c r="AG283">
        <f t="shared" si="251"/>
        <v>0</v>
      </c>
      <c r="AH283">
        <f>(EW283)</f>
        <v>0</v>
      </c>
      <c r="AI283">
        <f>(EX283)</f>
        <v>0</v>
      </c>
      <c r="AJ283">
        <f t="shared" si="252"/>
        <v>0</v>
      </c>
      <c r="AK283">
        <v>181.36</v>
      </c>
      <c r="AL283">
        <v>181.36</v>
      </c>
      <c r="AM283">
        <v>0</v>
      </c>
      <c r="AN283">
        <v>0</v>
      </c>
      <c r="AO283">
        <v>0</v>
      </c>
      <c r="AP283">
        <v>0</v>
      </c>
      <c r="AQ283">
        <v>0</v>
      </c>
      <c r="AR283">
        <v>0</v>
      </c>
      <c r="AS283">
        <v>0</v>
      </c>
      <c r="AT283">
        <v>0</v>
      </c>
      <c r="AU283">
        <v>0</v>
      </c>
      <c r="AV283">
        <v>1</v>
      </c>
      <c r="AW283">
        <v>1</v>
      </c>
      <c r="AZ283">
        <v>1</v>
      </c>
      <c r="BA283">
        <v>1</v>
      </c>
      <c r="BB283">
        <v>1</v>
      </c>
      <c r="BC283">
        <v>1</v>
      </c>
      <c r="BH283">
        <v>3</v>
      </c>
      <c r="BI283">
        <v>2</v>
      </c>
      <c r="BM283">
        <v>0</v>
      </c>
      <c r="BN283">
        <v>0</v>
      </c>
      <c r="BP283">
        <v>0</v>
      </c>
      <c r="BQ283">
        <v>40</v>
      </c>
      <c r="BR283">
        <v>0</v>
      </c>
      <c r="BS283">
        <v>1</v>
      </c>
      <c r="BT283">
        <v>1</v>
      </c>
      <c r="BU283">
        <v>1</v>
      </c>
      <c r="BV283">
        <v>1</v>
      </c>
      <c r="BW283">
        <v>1</v>
      </c>
      <c r="BX283">
        <v>1</v>
      </c>
      <c r="BZ283">
        <v>0</v>
      </c>
      <c r="CA283">
        <v>0</v>
      </c>
      <c r="CF283">
        <v>0</v>
      </c>
      <c r="CG283">
        <v>0</v>
      </c>
      <c r="CM283">
        <v>0</v>
      </c>
      <c r="CO283">
        <v>0</v>
      </c>
      <c r="CP283">
        <f t="shared" si="253"/>
        <v>288543.76</v>
      </c>
      <c r="CQ283">
        <f t="shared" si="254"/>
        <v>181.36</v>
      </c>
      <c r="CR283">
        <f>((((ET283)*BB283-(EU283)*BS283)+AE283*BS283)*AV283)</f>
        <v>0</v>
      </c>
      <c r="CS283">
        <f t="shared" si="255"/>
        <v>0</v>
      </c>
      <c r="CT283">
        <f t="shared" si="256"/>
        <v>0</v>
      </c>
      <c r="CU283">
        <f t="shared" si="257"/>
        <v>0</v>
      </c>
      <c r="CV283">
        <f t="shared" si="258"/>
        <v>0</v>
      </c>
      <c r="CW283">
        <f t="shared" si="259"/>
        <v>0</v>
      </c>
      <c r="CX283">
        <f t="shared" si="260"/>
        <v>0</v>
      </c>
      <c r="CY283">
        <f t="shared" si="261"/>
        <v>0</v>
      </c>
      <c r="CZ283">
        <f t="shared" si="262"/>
        <v>0</v>
      </c>
      <c r="DN283">
        <v>0</v>
      </c>
      <c r="DO283">
        <v>0</v>
      </c>
      <c r="DP283">
        <v>1</v>
      </c>
      <c r="DQ283">
        <v>1</v>
      </c>
      <c r="DU283">
        <v>1013</v>
      </c>
      <c r="DV283" t="s">
        <v>165</v>
      </c>
      <c r="DW283" t="s">
        <v>165</v>
      </c>
      <c r="DX283">
        <v>1</v>
      </c>
      <c r="EE283">
        <v>34317415</v>
      </c>
      <c r="EF283">
        <v>0</v>
      </c>
      <c r="EH283">
        <v>0</v>
      </c>
      <c r="EJ283">
        <v>4</v>
      </c>
      <c r="EK283">
        <v>0</v>
      </c>
      <c r="EL283" t="s">
        <v>349</v>
      </c>
      <c r="EM283" t="s">
        <v>350</v>
      </c>
      <c r="EQ283">
        <v>0</v>
      </c>
      <c r="ER283">
        <v>181.36</v>
      </c>
      <c r="ES283">
        <v>181.36</v>
      </c>
      <c r="ET283">
        <v>0</v>
      </c>
      <c r="EU283">
        <v>0</v>
      </c>
      <c r="EV283">
        <v>0</v>
      </c>
      <c r="EW283">
        <v>0</v>
      </c>
      <c r="EX283">
        <v>0</v>
      </c>
      <c r="EZ283">
        <v>5</v>
      </c>
      <c r="FC283">
        <v>1</v>
      </c>
      <c r="FD283">
        <v>18</v>
      </c>
      <c r="FF283">
        <v>214</v>
      </c>
      <c r="FQ283">
        <v>0</v>
      </c>
      <c r="FR283">
        <f t="shared" si="263"/>
        <v>0</v>
      </c>
      <c r="FS283">
        <v>0</v>
      </c>
      <c r="FX283">
        <v>0</v>
      </c>
      <c r="FY283">
        <v>0</v>
      </c>
      <c r="GA283" t="s">
        <v>351</v>
      </c>
      <c r="GD283">
        <v>0</v>
      </c>
      <c r="GF283">
        <v>-353308058</v>
      </c>
      <c r="GG283">
        <v>2</v>
      </c>
      <c r="GH283">
        <v>3</v>
      </c>
      <c r="GI283">
        <v>-2</v>
      </c>
      <c r="GJ283">
        <v>0</v>
      </c>
      <c r="GK283">
        <f>ROUND(R283*(R12)/100,2)</f>
        <v>0</v>
      </c>
      <c r="GL283">
        <f t="shared" si="264"/>
        <v>0</v>
      </c>
      <c r="GM283">
        <f t="shared" si="265"/>
        <v>288543.76</v>
      </c>
      <c r="GN283">
        <f t="shared" si="266"/>
        <v>0</v>
      </c>
      <c r="GO283">
        <f t="shared" si="267"/>
        <v>288543.76</v>
      </c>
      <c r="GP283">
        <f t="shared" si="268"/>
        <v>0</v>
      </c>
      <c r="GT283">
        <v>0</v>
      </c>
      <c r="GU283">
        <v>1</v>
      </c>
      <c r="GV283">
        <v>0</v>
      </c>
      <c r="GW283">
        <v>0</v>
      </c>
      <c r="GX283">
        <f t="shared" si="269"/>
        <v>0</v>
      </c>
    </row>
    <row r="284" spans="1:206" ht="12.75">
      <c r="A284">
        <v>17</v>
      </c>
      <c r="B284">
        <v>1</v>
      </c>
      <c r="C284">
        <f>ROW(SmtRes!A136)</f>
        <v>136</v>
      </c>
      <c r="E284" t="s">
        <v>352</v>
      </c>
      <c r="F284" t="s">
        <v>353</v>
      </c>
      <c r="G284" t="s">
        <v>354</v>
      </c>
      <c r="H284" t="s">
        <v>341</v>
      </c>
      <c r="I284">
        <f>ROUND(1591/100,9)</f>
        <v>15.91</v>
      </c>
      <c r="J284">
        <v>0</v>
      </c>
      <c r="O284">
        <f t="shared" si="238"/>
        <v>18081.64</v>
      </c>
      <c r="P284">
        <f t="shared" si="239"/>
        <v>326.18</v>
      </c>
      <c r="Q284">
        <f t="shared" si="240"/>
        <v>5389.08</v>
      </c>
      <c r="R284">
        <f t="shared" si="241"/>
        <v>2872.51</v>
      </c>
      <c r="S284">
        <f t="shared" si="242"/>
        <v>12366.38</v>
      </c>
      <c r="T284">
        <f t="shared" si="243"/>
        <v>0</v>
      </c>
      <c r="U284">
        <f t="shared" si="244"/>
        <v>49.16386647599999</v>
      </c>
      <c r="V284">
        <f t="shared" si="245"/>
        <v>0</v>
      </c>
      <c r="W284">
        <f t="shared" si="246"/>
        <v>0</v>
      </c>
      <c r="X284">
        <f t="shared" si="247"/>
        <v>11129.74</v>
      </c>
      <c r="Y284">
        <f t="shared" si="248"/>
        <v>5317.54</v>
      </c>
      <c r="AA284">
        <v>34388368</v>
      </c>
      <c r="AB284">
        <f t="shared" si="249"/>
        <v>74.024</v>
      </c>
      <c r="AC284">
        <f t="shared" si="250"/>
        <v>3.92</v>
      </c>
      <c r="AD284">
        <f>ROUND((((((ET284*1.2)*1.15))-(((EU284*1.2)*1.15)))+AE284),6)</f>
        <v>35.052</v>
      </c>
      <c r="AE284">
        <f>ROUND((((EU284*1.2)*1.15)),6)</f>
        <v>8.142</v>
      </c>
      <c r="AF284">
        <f>ROUND((((EV284*1.2)*1.15)),6)</f>
        <v>35.052</v>
      </c>
      <c r="AG284">
        <f t="shared" si="251"/>
        <v>0</v>
      </c>
      <c r="AH284">
        <f>(((EW284*1.2)*1.15))</f>
        <v>2.8427999999999995</v>
      </c>
      <c r="AI284">
        <f>(((EX284*1.2)*1.15))</f>
        <v>0</v>
      </c>
      <c r="AJ284">
        <f t="shared" si="252"/>
        <v>0</v>
      </c>
      <c r="AK284">
        <v>54.72</v>
      </c>
      <c r="AL284">
        <v>3.92</v>
      </c>
      <c r="AM284">
        <v>25.4</v>
      </c>
      <c r="AN284">
        <v>5.9</v>
      </c>
      <c r="AO284">
        <v>25.4</v>
      </c>
      <c r="AP284">
        <v>0</v>
      </c>
      <c r="AQ284">
        <v>2.06</v>
      </c>
      <c r="AR284">
        <v>0</v>
      </c>
      <c r="AS284">
        <v>0</v>
      </c>
      <c r="AT284">
        <v>90</v>
      </c>
      <c r="AU284">
        <v>43</v>
      </c>
      <c r="AV284">
        <v>1.087</v>
      </c>
      <c r="AW284">
        <v>1</v>
      </c>
      <c r="AZ284">
        <v>1</v>
      </c>
      <c r="BA284">
        <v>20.4</v>
      </c>
      <c r="BB284">
        <v>8.89</v>
      </c>
      <c r="BC284">
        <v>5.23</v>
      </c>
      <c r="BH284">
        <v>0</v>
      </c>
      <c r="BI284">
        <v>2</v>
      </c>
      <c r="BJ284" t="s">
        <v>355</v>
      </c>
      <c r="BM284">
        <v>319</v>
      </c>
      <c r="BN284">
        <v>0</v>
      </c>
      <c r="BO284" t="s">
        <v>353</v>
      </c>
      <c r="BP284">
        <v>1</v>
      </c>
      <c r="BQ284">
        <v>40</v>
      </c>
      <c r="BR284">
        <v>0</v>
      </c>
      <c r="BS284">
        <v>20.4</v>
      </c>
      <c r="BT284">
        <v>1</v>
      </c>
      <c r="BU284">
        <v>1</v>
      </c>
      <c r="BV284">
        <v>1</v>
      </c>
      <c r="BW284">
        <v>1</v>
      </c>
      <c r="BX284">
        <v>1</v>
      </c>
      <c r="BZ284">
        <v>90</v>
      </c>
      <c r="CA284">
        <v>43</v>
      </c>
      <c r="CF284">
        <v>0</v>
      </c>
      <c r="CG284">
        <v>0</v>
      </c>
      <c r="CM284">
        <v>0</v>
      </c>
      <c r="CN284" t="s">
        <v>523</v>
      </c>
      <c r="CO284">
        <v>0</v>
      </c>
      <c r="CP284">
        <f t="shared" si="253"/>
        <v>18081.64</v>
      </c>
      <c r="CQ284">
        <f t="shared" si="254"/>
        <v>20.5016</v>
      </c>
      <c r="CR284">
        <f>((((((ET284*1.2)*1.15))*BB284-(((EU284*1.2)*1.15))*BS284)+AE284*BS284)*AV284)</f>
        <v>338.7225483599999</v>
      </c>
      <c r="CS284">
        <f t="shared" si="255"/>
        <v>180.54722159999997</v>
      </c>
      <c r="CT284">
        <f t="shared" si="256"/>
        <v>777.2710896</v>
      </c>
      <c r="CU284">
        <f t="shared" si="257"/>
        <v>0</v>
      </c>
      <c r="CV284">
        <f t="shared" si="258"/>
        <v>3.090123599999999</v>
      </c>
      <c r="CW284">
        <f t="shared" si="259"/>
        <v>0</v>
      </c>
      <c r="CX284">
        <f t="shared" si="260"/>
        <v>0</v>
      </c>
      <c r="CY284">
        <f t="shared" si="261"/>
        <v>11129.742</v>
      </c>
      <c r="CZ284">
        <f t="shared" si="262"/>
        <v>5317.5434</v>
      </c>
      <c r="DE284" t="s">
        <v>343</v>
      </c>
      <c r="DF284" t="s">
        <v>343</v>
      </c>
      <c r="DG284" t="s">
        <v>343</v>
      </c>
      <c r="DI284" t="s">
        <v>343</v>
      </c>
      <c r="DJ284" t="s">
        <v>343</v>
      </c>
      <c r="DN284">
        <v>112</v>
      </c>
      <c r="DO284">
        <v>70</v>
      </c>
      <c r="DP284">
        <v>1.087</v>
      </c>
      <c r="DQ284">
        <v>1</v>
      </c>
      <c r="DU284">
        <v>1010</v>
      </c>
      <c r="DV284" t="s">
        <v>341</v>
      </c>
      <c r="DW284" t="s">
        <v>341</v>
      </c>
      <c r="DX284">
        <v>100</v>
      </c>
      <c r="EE284">
        <v>34317734</v>
      </c>
      <c r="EF284">
        <v>40</v>
      </c>
      <c r="EG284" t="s">
        <v>49</v>
      </c>
      <c r="EH284">
        <v>0</v>
      </c>
      <c r="EJ284">
        <v>2</v>
      </c>
      <c r="EK284">
        <v>319</v>
      </c>
      <c r="EL284" t="s">
        <v>344</v>
      </c>
      <c r="EM284" t="s">
        <v>345</v>
      </c>
      <c r="EO284" t="s">
        <v>356</v>
      </c>
      <c r="EQ284">
        <v>0</v>
      </c>
      <c r="ER284">
        <v>54.72</v>
      </c>
      <c r="ES284">
        <v>3.92</v>
      </c>
      <c r="ET284">
        <v>25.4</v>
      </c>
      <c r="EU284">
        <v>5.9</v>
      </c>
      <c r="EV284">
        <v>25.4</v>
      </c>
      <c r="EW284">
        <v>2.06</v>
      </c>
      <c r="EX284">
        <v>0</v>
      </c>
      <c r="EY284">
        <v>0</v>
      </c>
      <c r="FQ284">
        <v>0</v>
      </c>
      <c r="FR284">
        <f t="shared" si="263"/>
        <v>0</v>
      </c>
      <c r="FS284">
        <v>0</v>
      </c>
      <c r="FX284">
        <v>112</v>
      </c>
      <c r="FY284">
        <v>70</v>
      </c>
      <c r="GD284">
        <v>0</v>
      </c>
      <c r="GF284">
        <v>1634875659</v>
      </c>
      <c r="GG284">
        <v>2</v>
      </c>
      <c r="GH284">
        <v>1</v>
      </c>
      <c r="GI284">
        <v>2</v>
      </c>
      <c r="GJ284">
        <v>0</v>
      </c>
      <c r="GK284">
        <f>ROUND(R284*(R12)/100,2)</f>
        <v>4797.09</v>
      </c>
      <c r="GL284">
        <f t="shared" si="264"/>
        <v>0</v>
      </c>
      <c r="GM284">
        <f t="shared" si="265"/>
        <v>39326.009999999995</v>
      </c>
      <c r="GN284">
        <f t="shared" si="266"/>
        <v>0</v>
      </c>
      <c r="GO284">
        <f t="shared" si="267"/>
        <v>39326.01</v>
      </c>
      <c r="GP284">
        <f t="shared" si="268"/>
        <v>0</v>
      </c>
      <c r="GT284">
        <v>0</v>
      </c>
      <c r="GU284">
        <v>1</v>
      </c>
      <c r="GV284">
        <v>0</v>
      </c>
      <c r="GW284">
        <v>0</v>
      </c>
      <c r="GX284">
        <f t="shared" si="269"/>
        <v>0</v>
      </c>
    </row>
    <row r="285" spans="1:206" ht="12.75">
      <c r="A285">
        <v>18</v>
      </c>
      <c r="B285">
        <v>1</v>
      </c>
      <c r="C285">
        <v>136</v>
      </c>
      <c r="E285" t="s">
        <v>357</v>
      </c>
      <c r="F285" t="s">
        <v>62</v>
      </c>
      <c r="G285" t="s">
        <v>358</v>
      </c>
      <c r="H285" t="s">
        <v>165</v>
      </c>
      <c r="I285">
        <f>I284*J285</f>
        <v>1591</v>
      </c>
      <c r="J285">
        <v>100</v>
      </c>
      <c r="O285">
        <f t="shared" si="238"/>
        <v>342462.75</v>
      </c>
      <c r="P285">
        <f t="shared" si="239"/>
        <v>342462.75</v>
      </c>
      <c r="Q285">
        <f t="shared" si="240"/>
        <v>0</v>
      </c>
      <c r="R285">
        <f t="shared" si="241"/>
        <v>0</v>
      </c>
      <c r="S285">
        <f t="shared" si="242"/>
        <v>0</v>
      </c>
      <c r="T285">
        <f t="shared" si="243"/>
        <v>0</v>
      </c>
      <c r="U285">
        <f t="shared" si="244"/>
        <v>0</v>
      </c>
      <c r="V285">
        <f t="shared" si="245"/>
        <v>0</v>
      </c>
      <c r="W285">
        <f t="shared" si="246"/>
        <v>0</v>
      </c>
      <c r="X285">
        <f t="shared" si="247"/>
        <v>0</v>
      </c>
      <c r="Y285">
        <f t="shared" si="248"/>
        <v>0</v>
      </c>
      <c r="AA285">
        <v>34388368</v>
      </c>
      <c r="AB285">
        <f t="shared" si="249"/>
        <v>215.25</v>
      </c>
      <c r="AC285">
        <f t="shared" si="250"/>
        <v>215.25</v>
      </c>
      <c r="AD285">
        <f>ROUND((((ET285)-(EU285))+AE285),6)</f>
        <v>0</v>
      </c>
      <c r="AE285">
        <f>ROUND((EU285),6)</f>
        <v>0</v>
      </c>
      <c r="AF285">
        <f>ROUND((EV285),6)</f>
        <v>0</v>
      </c>
      <c r="AG285">
        <f t="shared" si="251"/>
        <v>0</v>
      </c>
      <c r="AH285">
        <f>(EW285)</f>
        <v>0</v>
      </c>
      <c r="AI285">
        <f>(EX285)</f>
        <v>0</v>
      </c>
      <c r="AJ285">
        <f t="shared" si="252"/>
        <v>0</v>
      </c>
      <c r="AK285">
        <v>215.25</v>
      </c>
      <c r="AL285">
        <v>215.25</v>
      </c>
      <c r="AM285">
        <v>0</v>
      </c>
      <c r="AN285">
        <v>0</v>
      </c>
      <c r="AO285">
        <v>0</v>
      </c>
      <c r="AP285">
        <v>0</v>
      </c>
      <c r="AQ285">
        <v>0</v>
      </c>
      <c r="AR285">
        <v>0</v>
      </c>
      <c r="AS285">
        <v>0</v>
      </c>
      <c r="AT285">
        <v>0</v>
      </c>
      <c r="AU285">
        <v>0</v>
      </c>
      <c r="AV285">
        <v>1</v>
      </c>
      <c r="AW285">
        <v>1</v>
      </c>
      <c r="AZ285">
        <v>1</v>
      </c>
      <c r="BA285">
        <v>1</v>
      </c>
      <c r="BB285">
        <v>1</v>
      </c>
      <c r="BC285">
        <v>1</v>
      </c>
      <c r="BH285">
        <v>3</v>
      </c>
      <c r="BI285">
        <v>2</v>
      </c>
      <c r="BM285">
        <v>319</v>
      </c>
      <c r="BN285">
        <v>0</v>
      </c>
      <c r="BP285">
        <v>0</v>
      </c>
      <c r="BQ285">
        <v>40</v>
      </c>
      <c r="BR285">
        <v>0</v>
      </c>
      <c r="BS285">
        <v>1</v>
      </c>
      <c r="BT285">
        <v>1</v>
      </c>
      <c r="BU285">
        <v>1</v>
      </c>
      <c r="BV285">
        <v>1</v>
      </c>
      <c r="BW285">
        <v>1</v>
      </c>
      <c r="BX285">
        <v>1</v>
      </c>
      <c r="BZ285">
        <v>0</v>
      </c>
      <c r="CA285">
        <v>0</v>
      </c>
      <c r="CF285">
        <v>0</v>
      </c>
      <c r="CG285">
        <v>0</v>
      </c>
      <c r="CM285">
        <v>0</v>
      </c>
      <c r="CO285">
        <v>0</v>
      </c>
      <c r="CP285">
        <f t="shared" si="253"/>
        <v>342462.75</v>
      </c>
      <c r="CQ285">
        <f t="shared" si="254"/>
        <v>215.25</v>
      </c>
      <c r="CR285">
        <f>((((ET285)*BB285-(EU285)*BS285)+AE285*BS285)*AV285)</f>
        <v>0</v>
      </c>
      <c r="CS285">
        <f t="shared" si="255"/>
        <v>0</v>
      </c>
      <c r="CT285">
        <f t="shared" si="256"/>
        <v>0</v>
      </c>
      <c r="CU285">
        <f t="shared" si="257"/>
        <v>0</v>
      </c>
      <c r="CV285">
        <f t="shared" si="258"/>
        <v>0</v>
      </c>
      <c r="CW285">
        <f t="shared" si="259"/>
        <v>0</v>
      </c>
      <c r="CX285">
        <f t="shared" si="260"/>
        <v>0</v>
      </c>
      <c r="CY285">
        <f t="shared" si="261"/>
        <v>0</v>
      </c>
      <c r="CZ285">
        <f t="shared" si="262"/>
        <v>0</v>
      </c>
      <c r="DN285">
        <v>112</v>
      </c>
      <c r="DO285">
        <v>70</v>
      </c>
      <c r="DP285">
        <v>1.087</v>
      </c>
      <c r="DQ285">
        <v>1</v>
      </c>
      <c r="DU285">
        <v>1013</v>
      </c>
      <c r="DV285" t="s">
        <v>165</v>
      </c>
      <c r="DW285" t="s">
        <v>165</v>
      </c>
      <c r="DX285">
        <v>1</v>
      </c>
      <c r="EE285">
        <v>34317734</v>
      </c>
      <c r="EF285">
        <v>40</v>
      </c>
      <c r="EG285" t="s">
        <v>49</v>
      </c>
      <c r="EH285">
        <v>0</v>
      </c>
      <c r="EJ285">
        <v>2</v>
      </c>
      <c r="EK285">
        <v>319</v>
      </c>
      <c r="EL285" t="s">
        <v>344</v>
      </c>
      <c r="EM285" t="s">
        <v>345</v>
      </c>
      <c r="EQ285">
        <v>0</v>
      </c>
      <c r="ER285">
        <v>215.25</v>
      </c>
      <c r="ES285">
        <v>215.25</v>
      </c>
      <c r="ET285">
        <v>0</v>
      </c>
      <c r="EU285">
        <v>0</v>
      </c>
      <c r="EV285">
        <v>0</v>
      </c>
      <c r="EW285">
        <v>0</v>
      </c>
      <c r="EX285">
        <v>0</v>
      </c>
      <c r="EZ285">
        <v>5</v>
      </c>
      <c r="FC285">
        <v>1</v>
      </c>
      <c r="FD285">
        <v>18</v>
      </c>
      <c r="FF285">
        <v>254</v>
      </c>
      <c r="FQ285">
        <v>0</v>
      </c>
      <c r="FR285">
        <f t="shared" si="263"/>
        <v>0</v>
      </c>
      <c r="FS285">
        <v>0</v>
      </c>
      <c r="FX285">
        <v>112</v>
      </c>
      <c r="FY285">
        <v>70</v>
      </c>
      <c r="GA285" t="s">
        <v>359</v>
      </c>
      <c r="GD285">
        <v>0</v>
      </c>
      <c r="GF285">
        <v>391796212</v>
      </c>
      <c r="GG285">
        <v>2</v>
      </c>
      <c r="GH285">
        <v>3</v>
      </c>
      <c r="GI285">
        <v>-2</v>
      </c>
      <c r="GJ285">
        <v>0</v>
      </c>
      <c r="GK285">
        <f>ROUND(R285*(R12)/100,2)</f>
        <v>0</v>
      </c>
      <c r="GL285">
        <f t="shared" si="264"/>
        <v>0</v>
      </c>
      <c r="GM285">
        <f t="shared" si="265"/>
        <v>342462.75</v>
      </c>
      <c r="GN285">
        <f t="shared" si="266"/>
        <v>0</v>
      </c>
      <c r="GO285">
        <f t="shared" si="267"/>
        <v>342462.75</v>
      </c>
      <c r="GP285">
        <f t="shared" si="268"/>
        <v>0</v>
      </c>
      <c r="GT285">
        <v>0</v>
      </c>
      <c r="GU285">
        <v>1</v>
      </c>
      <c r="GV285">
        <v>0</v>
      </c>
      <c r="GW285">
        <v>0</v>
      </c>
      <c r="GX285">
        <f t="shared" si="269"/>
        <v>0</v>
      </c>
    </row>
    <row r="286" spans="1:206" ht="12.75">
      <c r="A286">
        <v>17</v>
      </c>
      <c r="B286">
        <v>1</v>
      </c>
      <c r="E286" t="s">
        <v>360</v>
      </c>
      <c r="F286" t="s">
        <v>153</v>
      </c>
      <c r="G286" t="s">
        <v>154</v>
      </c>
      <c r="H286" t="s">
        <v>47</v>
      </c>
      <c r="I286">
        <f>ROUND(4773/100,9)</f>
        <v>47.73</v>
      </c>
      <c r="J286">
        <v>0</v>
      </c>
      <c r="O286">
        <f t="shared" si="238"/>
        <v>1435614.93</v>
      </c>
      <c r="P286">
        <f t="shared" si="239"/>
        <v>10955.82</v>
      </c>
      <c r="Q286">
        <f t="shared" si="240"/>
        <v>675123.31</v>
      </c>
      <c r="R286">
        <f t="shared" si="241"/>
        <v>285540.18</v>
      </c>
      <c r="S286">
        <f t="shared" si="242"/>
        <v>749535.8</v>
      </c>
      <c r="T286">
        <f t="shared" si="243"/>
        <v>0</v>
      </c>
      <c r="U286">
        <f t="shared" si="244"/>
        <v>2979.8938699199994</v>
      </c>
      <c r="V286">
        <f t="shared" si="245"/>
        <v>0</v>
      </c>
      <c r="W286">
        <f t="shared" si="246"/>
        <v>0</v>
      </c>
      <c r="X286">
        <f t="shared" si="247"/>
        <v>674582.22</v>
      </c>
      <c r="Y286">
        <f t="shared" si="248"/>
        <v>322300.39</v>
      </c>
      <c r="AA286">
        <v>34388368</v>
      </c>
      <c r="AB286">
        <f t="shared" si="249"/>
        <v>2450.77</v>
      </c>
      <c r="AC286">
        <f t="shared" si="250"/>
        <v>40.6</v>
      </c>
      <c r="AD286">
        <f>ROUND((((((ET286*1.15)*1.2))-(((EU286*1.15)*1.2)))+AE286),6)</f>
        <v>1688.7198</v>
      </c>
      <c r="AE286">
        <f>ROUND((((EU286*1.15)*1.2)),6)</f>
        <v>274.8408</v>
      </c>
      <c r="AF286">
        <f>ROUND((((EV286*1.15)*1.2)),6)</f>
        <v>721.4502</v>
      </c>
      <c r="AG286">
        <f t="shared" si="251"/>
        <v>0</v>
      </c>
      <c r="AH286">
        <f>(((EW286*1.15)*1.2))</f>
        <v>58.51199999999999</v>
      </c>
      <c r="AI286">
        <f>(((EX286*1.15)*1.2))</f>
        <v>0</v>
      </c>
      <c r="AJ286">
        <f t="shared" si="252"/>
        <v>0</v>
      </c>
      <c r="AK286">
        <v>1787.1</v>
      </c>
      <c r="AL286">
        <v>40.6</v>
      </c>
      <c r="AM286">
        <v>1223.71</v>
      </c>
      <c r="AN286">
        <v>199.16</v>
      </c>
      <c r="AO286">
        <v>522.79</v>
      </c>
      <c r="AP286">
        <v>0</v>
      </c>
      <c r="AQ286">
        <v>42.4</v>
      </c>
      <c r="AR286">
        <v>0</v>
      </c>
      <c r="AS286">
        <v>0</v>
      </c>
      <c r="AT286">
        <v>90</v>
      </c>
      <c r="AU286">
        <v>43</v>
      </c>
      <c r="AV286">
        <v>1.067</v>
      </c>
      <c r="AW286">
        <v>1.081</v>
      </c>
      <c r="AZ286">
        <v>1</v>
      </c>
      <c r="BA286">
        <v>20.4</v>
      </c>
      <c r="BB286">
        <v>7.85</v>
      </c>
      <c r="BC286">
        <v>5.23</v>
      </c>
      <c r="BH286">
        <v>0</v>
      </c>
      <c r="BI286">
        <v>2</v>
      </c>
      <c r="BJ286" t="s">
        <v>155</v>
      </c>
      <c r="BM286">
        <v>318</v>
      </c>
      <c r="BN286">
        <v>0</v>
      </c>
      <c r="BO286" t="s">
        <v>153</v>
      </c>
      <c r="BP286">
        <v>1</v>
      </c>
      <c r="BQ286">
        <v>40</v>
      </c>
      <c r="BR286">
        <v>0</v>
      </c>
      <c r="BS286">
        <v>20.4</v>
      </c>
      <c r="BT286">
        <v>1</v>
      </c>
      <c r="BU286">
        <v>1</v>
      </c>
      <c r="BV286">
        <v>1</v>
      </c>
      <c r="BW286">
        <v>1</v>
      </c>
      <c r="BX286">
        <v>1</v>
      </c>
      <c r="BZ286">
        <v>90</v>
      </c>
      <c r="CA286">
        <v>43</v>
      </c>
      <c r="CF286">
        <v>0</v>
      </c>
      <c r="CG286">
        <v>0</v>
      </c>
      <c r="CM286">
        <v>0</v>
      </c>
      <c r="CN286" t="s">
        <v>524</v>
      </c>
      <c r="CO286">
        <v>0</v>
      </c>
      <c r="CP286">
        <f t="shared" si="253"/>
        <v>1435614.9300000002</v>
      </c>
      <c r="CQ286">
        <f t="shared" si="254"/>
        <v>229.53737800000002</v>
      </c>
      <c r="CR286">
        <f>((((((ET286*1.15)*1.2))*BB286-(((EU286*1.15)*1.2))*BS286)+AE286*BS286)*AV286)</f>
        <v>14144.632608809998</v>
      </c>
      <c r="CS286">
        <f t="shared" si="255"/>
        <v>5982.404725439999</v>
      </c>
      <c r="CT286">
        <f t="shared" si="256"/>
        <v>15703.662213359998</v>
      </c>
      <c r="CU286">
        <f t="shared" si="257"/>
        <v>0</v>
      </c>
      <c r="CV286">
        <f t="shared" si="258"/>
        <v>62.43230399999999</v>
      </c>
      <c r="CW286">
        <f t="shared" si="259"/>
        <v>0</v>
      </c>
      <c r="CX286">
        <f t="shared" si="260"/>
        <v>0</v>
      </c>
      <c r="CY286">
        <f t="shared" si="261"/>
        <v>674582.2200000001</v>
      </c>
      <c r="CZ286">
        <f t="shared" si="262"/>
        <v>322300.39400000003</v>
      </c>
      <c r="DE286" t="s">
        <v>361</v>
      </c>
      <c r="DF286" t="s">
        <v>361</v>
      </c>
      <c r="DG286" t="s">
        <v>361</v>
      </c>
      <c r="DI286" t="s">
        <v>361</v>
      </c>
      <c r="DJ286" t="s">
        <v>361</v>
      </c>
      <c r="DN286">
        <v>112</v>
      </c>
      <c r="DO286">
        <v>70</v>
      </c>
      <c r="DP286">
        <v>1.067</v>
      </c>
      <c r="DQ286">
        <v>1.081</v>
      </c>
      <c r="DU286">
        <v>1003</v>
      </c>
      <c r="DV286" t="s">
        <v>47</v>
      </c>
      <c r="DW286" t="s">
        <v>47</v>
      </c>
      <c r="DX286">
        <v>100</v>
      </c>
      <c r="EE286">
        <v>34317733</v>
      </c>
      <c r="EF286">
        <v>40</v>
      </c>
      <c r="EG286" t="s">
        <v>49</v>
      </c>
      <c r="EH286">
        <v>0</v>
      </c>
      <c r="EJ286">
        <v>2</v>
      </c>
      <c r="EK286">
        <v>318</v>
      </c>
      <c r="EL286" t="s">
        <v>50</v>
      </c>
      <c r="EM286" t="s">
        <v>51</v>
      </c>
      <c r="EO286" t="s">
        <v>362</v>
      </c>
      <c r="EQ286">
        <v>0</v>
      </c>
      <c r="ER286">
        <v>1787.1</v>
      </c>
      <c r="ES286">
        <v>40.6</v>
      </c>
      <c r="ET286">
        <v>1223.71</v>
      </c>
      <c r="EU286">
        <v>199.16</v>
      </c>
      <c r="EV286">
        <v>522.79</v>
      </c>
      <c r="EW286">
        <v>42.4</v>
      </c>
      <c r="EX286">
        <v>0</v>
      </c>
      <c r="EY286">
        <v>0</v>
      </c>
      <c r="FQ286">
        <v>0</v>
      </c>
      <c r="FR286">
        <f t="shared" si="263"/>
        <v>0</v>
      </c>
      <c r="FS286">
        <v>0</v>
      </c>
      <c r="FX286">
        <v>112</v>
      </c>
      <c r="FY286">
        <v>70</v>
      </c>
      <c r="GD286">
        <v>0</v>
      </c>
      <c r="GF286">
        <v>552761603</v>
      </c>
      <c r="GG286">
        <v>2</v>
      </c>
      <c r="GH286">
        <v>1</v>
      </c>
      <c r="GI286">
        <v>2</v>
      </c>
      <c r="GJ286">
        <v>0</v>
      </c>
      <c r="GK286">
        <f>ROUND(R286*(R12)/100,2)</f>
        <v>476852.1</v>
      </c>
      <c r="GL286">
        <f t="shared" si="264"/>
        <v>0</v>
      </c>
      <c r="GM286">
        <f t="shared" si="265"/>
        <v>2909349.64</v>
      </c>
      <c r="GN286">
        <f t="shared" si="266"/>
        <v>0</v>
      </c>
      <c r="GO286">
        <f t="shared" si="267"/>
        <v>2909349.64</v>
      </c>
      <c r="GP286">
        <f t="shared" si="268"/>
        <v>0</v>
      </c>
      <c r="GT286">
        <v>0</v>
      </c>
      <c r="GU286">
        <v>1</v>
      </c>
      <c r="GV286">
        <v>0</v>
      </c>
      <c r="GW286">
        <v>0</v>
      </c>
      <c r="GX286">
        <f t="shared" si="269"/>
        <v>0</v>
      </c>
    </row>
    <row r="287" spans="1:206" ht="12.75">
      <c r="A287">
        <v>17</v>
      </c>
      <c r="B287">
        <v>1</v>
      </c>
      <c r="E287" t="s">
        <v>363</v>
      </c>
      <c r="F287" t="s">
        <v>62</v>
      </c>
      <c r="G287" t="s">
        <v>364</v>
      </c>
      <c r="H287" t="s">
        <v>158</v>
      </c>
      <c r="I287">
        <v>4868</v>
      </c>
      <c r="J287">
        <v>0</v>
      </c>
      <c r="O287">
        <f t="shared" si="238"/>
        <v>5606426.92</v>
      </c>
      <c r="P287">
        <f t="shared" si="239"/>
        <v>5606426.92</v>
      </c>
      <c r="Q287">
        <f t="shared" si="240"/>
        <v>0</v>
      </c>
      <c r="R287">
        <f t="shared" si="241"/>
        <v>0</v>
      </c>
      <c r="S287">
        <f t="shared" si="242"/>
        <v>0</v>
      </c>
      <c r="T287">
        <f t="shared" si="243"/>
        <v>0</v>
      </c>
      <c r="U287">
        <f t="shared" si="244"/>
        <v>0</v>
      </c>
      <c r="V287">
        <f t="shared" si="245"/>
        <v>0</v>
      </c>
      <c r="W287">
        <f t="shared" si="246"/>
        <v>0</v>
      </c>
      <c r="X287">
        <f t="shared" si="247"/>
        <v>0</v>
      </c>
      <c r="Y287">
        <f t="shared" si="248"/>
        <v>0</v>
      </c>
      <c r="AA287">
        <v>34388368</v>
      </c>
      <c r="AB287">
        <f t="shared" si="249"/>
        <v>1151.69</v>
      </c>
      <c r="AC287">
        <f t="shared" si="250"/>
        <v>1151.69</v>
      </c>
      <c r="AD287">
        <f>ROUND((((ET287)-(EU287))+AE287),6)</f>
        <v>0</v>
      </c>
      <c r="AE287">
        <f>ROUND((EU287),6)</f>
        <v>0</v>
      </c>
      <c r="AF287">
        <f>ROUND((EV287),6)</f>
        <v>0</v>
      </c>
      <c r="AG287">
        <f t="shared" si="251"/>
        <v>0</v>
      </c>
      <c r="AH287">
        <f>(EW287)</f>
        <v>0</v>
      </c>
      <c r="AI287">
        <f>(EX287)</f>
        <v>0</v>
      </c>
      <c r="AJ287">
        <f t="shared" si="252"/>
        <v>0</v>
      </c>
      <c r="AK287">
        <v>1151.69</v>
      </c>
      <c r="AL287">
        <v>1151.69</v>
      </c>
      <c r="AM287">
        <v>0</v>
      </c>
      <c r="AN287">
        <v>0</v>
      </c>
      <c r="AO287">
        <v>0</v>
      </c>
      <c r="AP287">
        <v>0</v>
      </c>
      <c r="AQ287">
        <v>0</v>
      </c>
      <c r="AR287">
        <v>0</v>
      </c>
      <c r="AS287">
        <v>0</v>
      </c>
      <c r="AT287">
        <v>0</v>
      </c>
      <c r="AU287">
        <v>0</v>
      </c>
      <c r="AV287">
        <v>1</v>
      </c>
      <c r="AW287">
        <v>1</v>
      </c>
      <c r="AZ287">
        <v>1</v>
      </c>
      <c r="BA287">
        <v>1</v>
      </c>
      <c r="BB287">
        <v>1</v>
      </c>
      <c r="BC287">
        <v>1</v>
      </c>
      <c r="BH287">
        <v>3</v>
      </c>
      <c r="BI287">
        <v>1</v>
      </c>
      <c r="BM287">
        <v>400002</v>
      </c>
      <c r="BN287">
        <v>0</v>
      </c>
      <c r="BP287">
        <v>0</v>
      </c>
      <c r="BQ287">
        <v>202</v>
      </c>
      <c r="BR287">
        <v>0</v>
      </c>
      <c r="BS287">
        <v>1</v>
      </c>
      <c r="BT287">
        <v>1</v>
      </c>
      <c r="BU287">
        <v>1</v>
      </c>
      <c r="BV287">
        <v>1</v>
      </c>
      <c r="BW287">
        <v>1</v>
      </c>
      <c r="BX287">
        <v>1</v>
      </c>
      <c r="BZ287">
        <v>0</v>
      </c>
      <c r="CA287">
        <v>0</v>
      </c>
      <c r="CF287">
        <v>0</v>
      </c>
      <c r="CG287">
        <v>0</v>
      </c>
      <c r="CM287">
        <v>0</v>
      </c>
      <c r="CO287">
        <v>0</v>
      </c>
      <c r="CP287">
        <f t="shared" si="253"/>
        <v>5606426.92</v>
      </c>
      <c r="CQ287">
        <f t="shared" si="254"/>
        <v>1151.69</v>
      </c>
      <c r="CR287">
        <f>((((ET287)*BB287-(EU287)*BS287)+AE287*BS287)*AV287)</f>
        <v>0</v>
      </c>
      <c r="CS287">
        <f t="shared" si="255"/>
        <v>0</v>
      </c>
      <c r="CT287">
        <f t="shared" si="256"/>
        <v>0</v>
      </c>
      <c r="CU287">
        <f t="shared" si="257"/>
        <v>0</v>
      </c>
      <c r="CV287">
        <f t="shared" si="258"/>
        <v>0</v>
      </c>
      <c r="CW287">
        <f t="shared" si="259"/>
        <v>0</v>
      </c>
      <c r="CX287">
        <f t="shared" si="260"/>
        <v>0</v>
      </c>
      <c r="CY287">
        <f t="shared" si="261"/>
        <v>0</v>
      </c>
      <c r="CZ287">
        <f t="shared" si="262"/>
        <v>0</v>
      </c>
      <c r="DN287">
        <v>0</v>
      </c>
      <c r="DO287">
        <v>0</v>
      </c>
      <c r="DP287">
        <v>1</v>
      </c>
      <c r="DQ287">
        <v>1</v>
      </c>
      <c r="DU287">
        <v>1003</v>
      </c>
      <c r="DV287" t="s">
        <v>158</v>
      </c>
      <c r="DW287" t="s">
        <v>158</v>
      </c>
      <c r="DX287">
        <v>1</v>
      </c>
      <c r="EE287">
        <v>34319439</v>
      </c>
      <c r="EF287">
        <v>202</v>
      </c>
      <c r="EG287" t="s">
        <v>159</v>
      </c>
      <c r="EH287">
        <v>0</v>
      </c>
      <c r="EJ287">
        <v>1</v>
      </c>
      <c r="EK287">
        <v>400002</v>
      </c>
      <c r="EL287" t="s">
        <v>160</v>
      </c>
      <c r="EM287" t="s">
        <v>159</v>
      </c>
      <c r="EQ287">
        <v>0</v>
      </c>
      <c r="ER287">
        <v>1151.69</v>
      </c>
      <c r="ES287">
        <v>1151.69</v>
      </c>
      <c r="ET287">
        <v>0</v>
      </c>
      <c r="EU287">
        <v>0</v>
      </c>
      <c r="EV287">
        <v>0</v>
      </c>
      <c r="EW287">
        <v>0</v>
      </c>
      <c r="EX287">
        <v>0</v>
      </c>
      <c r="EY287">
        <v>0</v>
      </c>
      <c r="EZ287">
        <v>5</v>
      </c>
      <c r="FC287">
        <v>1</v>
      </c>
      <c r="FD287">
        <v>18</v>
      </c>
      <c r="FF287">
        <v>1359</v>
      </c>
      <c r="FQ287">
        <v>0</v>
      </c>
      <c r="FR287">
        <f t="shared" si="263"/>
        <v>0</v>
      </c>
      <c r="FS287">
        <v>0</v>
      </c>
      <c r="FX287">
        <v>0</v>
      </c>
      <c r="FY287">
        <v>0</v>
      </c>
      <c r="GA287" t="s">
        <v>365</v>
      </c>
      <c r="GD287">
        <v>0</v>
      </c>
      <c r="GF287">
        <v>-1382392181</v>
      </c>
      <c r="GG287">
        <v>2</v>
      </c>
      <c r="GH287">
        <v>3</v>
      </c>
      <c r="GI287">
        <v>-2</v>
      </c>
      <c r="GJ287">
        <v>0</v>
      </c>
      <c r="GK287">
        <f>ROUND(R287*(R12)/100,2)</f>
        <v>0</v>
      </c>
      <c r="GL287">
        <f t="shared" si="264"/>
        <v>0</v>
      </c>
      <c r="GM287">
        <f t="shared" si="265"/>
        <v>5606426.92</v>
      </c>
      <c r="GN287">
        <f t="shared" si="266"/>
        <v>5606426.92</v>
      </c>
      <c r="GO287">
        <f t="shared" si="267"/>
        <v>0</v>
      </c>
      <c r="GP287">
        <f t="shared" si="268"/>
        <v>0</v>
      </c>
      <c r="GT287">
        <v>0</v>
      </c>
      <c r="GU287">
        <v>1</v>
      </c>
      <c r="GV287">
        <v>0</v>
      </c>
      <c r="GW287">
        <v>0</v>
      </c>
      <c r="GX287">
        <f t="shared" si="269"/>
        <v>0</v>
      </c>
    </row>
    <row r="288" spans="1:206" ht="12.75">
      <c r="A288">
        <v>17</v>
      </c>
      <c r="B288">
        <v>1</v>
      </c>
      <c r="C288">
        <f>ROW(SmtRes!A138)</f>
        <v>138</v>
      </c>
      <c r="D288">
        <f>ROW(EtalonRes!A142)</f>
        <v>142</v>
      </c>
      <c r="E288" t="s">
        <v>366</v>
      </c>
      <c r="F288" t="s">
        <v>71</v>
      </c>
      <c r="G288" t="s">
        <v>72</v>
      </c>
      <c r="H288" t="s">
        <v>73</v>
      </c>
      <c r="I288">
        <v>9.42</v>
      </c>
      <c r="J288">
        <v>0</v>
      </c>
      <c r="O288">
        <f t="shared" si="238"/>
        <v>8181.59</v>
      </c>
      <c r="P288">
        <f t="shared" si="239"/>
        <v>0</v>
      </c>
      <c r="Q288">
        <f t="shared" si="240"/>
        <v>0</v>
      </c>
      <c r="R288">
        <f t="shared" si="241"/>
        <v>0</v>
      </c>
      <c r="S288">
        <f t="shared" si="242"/>
        <v>8181.59</v>
      </c>
      <c r="T288">
        <f t="shared" si="243"/>
        <v>0</v>
      </c>
      <c r="U288">
        <f t="shared" si="244"/>
        <v>34.48013903999999</v>
      </c>
      <c r="V288">
        <f t="shared" si="245"/>
        <v>0</v>
      </c>
      <c r="W288">
        <f t="shared" si="246"/>
        <v>0</v>
      </c>
      <c r="X288">
        <f t="shared" si="247"/>
        <v>6954.35</v>
      </c>
      <c r="Y288">
        <f t="shared" si="248"/>
        <v>3354.45</v>
      </c>
      <c r="AA288">
        <v>34388368</v>
      </c>
      <c r="AB288">
        <f t="shared" si="249"/>
        <v>40.664</v>
      </c>
      <c r="AC288">
        <f t="shared" si="250"/>
        <v>0</v>
      </c>
      <c r="AD288">
        <f>ROUND(((((ET288*1.15))-((EU288*1.15)))+AE288),6)</f>
        <v>0</v>
      </c>
      <c r="AE288">
        <f>ROUND(((EU288*1.15)),6)</f>
        <v>0</v>
      </c>
      <c r="AF288">
        <f>ROUND(((EV288*1.15)),6)</f>
        <v>40.664</v>
      </c>
      <c r="AG288">
        <f t="shared" si="251"/>
        <v>0</v>
      </c>
      <c r="AH288">
        <f>((EW288*1.15))</f>
        <v>3.4959999999999996</v>
      </c>
      <c r="AI288">
        <f>((EX288*1.15))</f>
        <v>0</v>
      </c>
      <c r="AJ288">
        <f t="shared" si="252"/>
        <v>0</v>
      </c>
      <c r="AK288">
        <v>35.36</v>
      </c>
      <c r="AL288">
        <v>0</v>
      </c>
      <c r="AM288">
        <v>0</v>
      </c>
      <c r="AN288">
        <v>0</v>
      </c>
      <c r="AO288">
        <v>35.36</v>
      </c>
      <c r="AP288">
        <v>0</v>
      </c>
      <c r="AQ288">
        <v>3.04</v>
      </c>
      <c r="AR288">
        <v>0</v>
      </c>
      <c r="AS288">
        <v>0</v>
      </c>
      <c r="AT288">
        <v>85</v>
      </c>
      <c r="AU288">
        <v>41</v>
      </c>
      <c r="AV288">
        <v>1.047</v>
      </c>
      <c r="AW288">
        <v>1</v>
      </c>
      <c r="AZ288">
        <v>1</v>
      </c>
      <c r="BA288">
        <v>20.4</v>
      </c>
      <c r="BB288">
        <v>1</v>
      </c>
      <c r="BC288">
        <v>1</v>
      </c>
      <c r="BH288">
        <v>0</v>
      </c>
      <c r="BI288">
        <v>1</v>
      </c>
      <c r="BJ288" t="s">
        <v>74</v>
      </c>
      <c r="BM288">
        <v>99</v>
      </c>
      <c r="BN288">
        <v>0</v>
      </c>
      <c r="BO288" t="s">
        <v>71</v>
      </c>
      <c r="BP288">
        <v>1</v>
      </c>
      <c r="BQ288">
        <v>30</v>
      </c>
      <c r="BR288">
        <v>0</v>
      </c>
      <c r="BS288">
        <v>20.4</v>
      </c>
      <c r="BT288">
        <v>1</v>
      </c>
      <c r="BU288">
        <v>1</v>
      </c>
      <c r="BV288">
        <v>1</v>
      </c>
      <c r="BW288">
        <v>1</v>
      </c>
      <c r="BX288">
        <v>1</v>
      </c>
      <c r="BZ288">
        <v>85</v>
      </c>
      <c r="CA288">
        <v>41</v>
      </c>
      <c r="CF288">
        <v>0</v>
      </c>
      <c r="CG288">
        <v>0</v>
      </c>
      <c r="CM288">
        <v>0</v>
      </c>
      <c r="CN288" t="s">
        <v>26</v>
      </c>
      <c r="CO288">
        <v>0</v>
      </c>
      <c r="CP288">
        <f t="shared" si="253"/>
        <v>8181.59</v>
      </c>
      <c r="CQ288">
        <f t="shared" si="254"/>
        <v>0</v>
      </c>
      <c r="CR288">
        <f>(((((ET288*1.15))*BB288-((EU288*1.15))*BS288)+AE288*BS288)*AV288)</f>
        <v>0</v>
      </c>
      <c r="CS288">
        <f t="shared" si="255"/>
        <v>0</v>
      </c>
      <c r="CT288">
        <f t="shared" si="256"/>
        <v>868.5342431999999</v>
      </c>
      <c r="CU288">
        <f t="shared" si="257"/>
        <v>0</v>
      </c>
      <c r="CV288">
        <f t="shared" si="258"/>
        <v>3.6603119999999993</v>
      </c>
      <c r="CW288">
        <f t="shared" si="259"/>
        <v>0</v>
      </c>
      <c r="CX288">
        <f t="shared" si="260"/>
        <v>0</v>
      </c>
      <c r="CY288">
        <f t="shared" si="261"/>
        <v>6954.3515</v>
      </c>
      <c r="CZ288">
        <f t="shared" si="262"/>
        <v>3354.4519</v>
      </c>
      <c r="DE288" t="s">
        <v>27</v>
      </c>
      <c r="DF288" t="s">
        <v>27</v>
      </c>
      <c r="DG288" t="s">
        <v>27</v>
      </c>
      <c r="DI288" t="s">
        <v>27</v>
      </c>
      <c r="DJ288" t="s">
        <v>27</v>
      </c>
      <c r="DN288">
        <v>105</v>
      </c>
      <c r="DO288">
        <v>77</v>
      </c>
      <c r="DP288">
        <v>1.047</v>
      </c>
      <c r="DQ288">
        <v>1</v>
      </c>
      <c r="DU288">
        <v>1005</v>
      </c>
      <c r="DV288" t="s">
        <v>73</v>
      </c>
      <c r="DW288" t="s">
        <v>73</v>
      </c>
      <c r="DX288">
        <v>1</v>
      </c>
      <c r="EE288">
        <v>34317514</v>
      </c>
      <c r="EF288">
        <v>30</v>
      </c>
      <c r="EG288" t="s">
        <v>28</v>
      </c>
      <c r="EH288">
        <v>0</v>
      </c>
      <c r="EJ288">
        <v>1</v>
      </c>
      <c r="EK288">
        <v>99</v>
      </c>
      <c r="EL288" t="s">
        <v>75</v>
      </c>
      <c r="EM288" t="s">
        <v>76</v>
      </c>
      <c r="EO288" t="s">
        <v>31</v>
      </c>
      <c r="EQ288">
        <v>0</v>
      </c>
      <c r="ER288">
        <v>35.36</v>
      </c>
      <c r="ES288">
        <v>0</v>
      </c>
      <c r="ET288">
        <v>0</v>
      </c>
      <c r="EU288">
        <v>0</v>
      </c>
      <c r="EV288">
        <v>35.36</v>
      </c>
      <c r="EW288">
        <v>3.04</v>
      </c>
      <c r="EX288">
        <v>0</v>
      </c>
      <c r="EY288">
        <v>0</v>
      </c>
      <c r="FQ288">
        <v>0</v>
      </c>
      <c r="FR288">
        <f t="shared" si="263"/>
        <v>0</v>
      </c>
      <c r="FS288">
        <v>0</v>
      </c>
      <c r="FX288">
        <v>105</v>
      </c>
      <c r="FY288">
        <v>77</v>
      </c>
      <c r="GD288">
        <v>0</v>
      </c>
      <c r="GF288">
        <v>584276576</v>
      </c>
      <c r="GG288">
        <v>2</v>
      </c>
      <c r="GH288">
        <v>1</v>
      </c>
      <c r="GI288">
        <v>2</v>
      </c>
      <c r="GJ288">
        <v>0</v>
      </c>
      <c r="GK288">
        <f>ROUND(R288*(R12)/100,2)</f>
        <v>0</v>
      </c>
      <c r="GL288">
        <f t="shared" si="264"/>
        <v>0</v>
      </c>
      <c r="GM288">
        <f t="shared" si="265"/>
        <v>18490.39</v>
      </c>
      <c r="GN288">
        <f t="shared" si="266"/>
        <v>18490.39</v>
      </c>
      <c r="GO288">
        <f t="shared" si="267"/>
        <v>0</v>
      </c>
      <c r="GP288">
        <f t="shared" si="268"/>
        <v>0</v>
      </c>
      <c r="GT288">
        <v>0</v>
      </c>
      <c r="GU288">
        <v>1</v>
      </c>
      <c r="GV288">
        <v>0</v>
      </c>
      <c r="GW288">
        <v>0</v>
      </c>
      <c r="GX288">
        <f t="shared" si="269"/>
        <v>0</v>
      </c>
    </row>
    <row r="289" spans="1:206" ht="12.75">
      <c r="A289">
        <v>18</v>
      </c>
      <c r="B289">
        <v>1</v>
      </c>
      <c r="C289">
        <v>138</v>
      </c>
      <c r="E289" t="s">
        <v>367</v>
      </c>
      <c r="F289" t="s">
        <v>62</v>
      </c>
      <c r="G289" t="s">
        <v>368</v>
      </c>
      <c r="H289" t="s">
        <v>79</v>
      </c>
      <c r="I289">
        <f>I288*J289</f>
        <v>1</v>
      </c>
      <c r="J289">
        <v>0.10615711252653928</v>
      </c>
      <c r="O289">
        <f t="shared" si="238"/>
        <v>5508.47</v>
      </c>
      <c r="P289">
        <f t="shared" si="239"/>
        <v>5508.47</v>
      </c>
      <c r="Q289">
        <f t="shared" si="240"/>
        <v>0</v>
      </c>
      <c r="R289">
        <f t="shared" si="241"/>
        <v>0</v>
      </c>
      <c r="S289">
        <f t="shared" si="242"/>
        <v>0</v>
      </c>
      <c r="T289">
        <f t="shared" si="243"/>
        <v>0</v>
      </c>
      <c r="U289">
        <f t="shared" si="244"/>
        <v>0</v>
      </c>
      <c r="V289">
        <f t="shared" si="245"/>
        <v>0</v>
      </c>
      <c r="W289">
        <f t="shared" si="246"/>
        <v>0</v>
      </c>
      <c r="X289">
        <f t="shared" si="247"/>
        <v>0</v>
      </c>
      <c r="Y289">
        <f t="shared" si="248"/>
        <v>0</v>
      </c>
      <c r="AA289">
        <v>34388368</v>
      </c>
      <c r="AB289">
        <f t="shared" si="249"/>
        <v>5508.47</v>
      </c>
      <c r="AC289">
        <f t="shared" si="250"/>
        <v>5508.47</v>
      </c>
      <c r="AD289">
        <f>ROUND((((ET289)-(EU289))+AE289),6)</f>
        <v>0</v>
      </c>
      <c r="AE289">
        <f>ROUND((EU289),6)</f>
        <v>0</v>
      </c>
      <c r="AF289">
        <f>ROUND((EV289),6)</f>
        <v>0</v>
      </c>
      <c r="AG289">
        <f t="shared" si="251"/>
        <v>0</v>
      </c>
      <c r="AH289">
        <f>(EW289)</f>
        <v>0</v>
      </c>
      <c r="AI289">
        <f>(EX289)</f>
        <v>0</v>
      </c>
      <c r="AJ289">
        <f t="shared" si="252"/>
        <v>0</v>
      </c>
      <c r="AK289">
        <v>5508.47</v>
      </c>
      <c r="AL289">
        <v>5508.47</v>
      </c>
      <c r="AM289">
        <v>0</v>
      </c>
      <c r="AN289">
        <v>0</v>
      </c>
      <c r="AO289">
        <v>0</v>
      </c>
      <c r="AP289">
        <v>0</v>
      </c>
      <c r="AQ289">
        <v>0</v>
      </c>
      <c r="AR289">
        <v>0</v>
      </c>
      <c r="AS289">
        <v>0</v>
      </c>
      <c r="AT289">
        <v>0</v>
      </c>
      <c r="AU289">
        <v>0</v>
      </c>
      <c r="AV289">
        <v>1</v>
      </c>
      <c r="AW289">
        <v>1</v>
      </c>
      <c r="AZ289">
        <v>1</v>
      </c>
      <c r="BA289">
        <v>1</v>
      </c>
      <c r="BB289">
        <v>1</v>
      </c>
      <c r="BC289">
        <v>1</v>
      </c>
      <c r="BH289">
        <v>3</v>
      </c>
      <c r="BI289">
        <v>1</v>
      </c>
      <c r="BM289">
        <v>99</v>
      </c>
      <c r="BN289">
        <v>0</v>
      </c>
      <c r="BP289">
        <v>0</v>
      </c>
      <c r="BQ289">
        <v>30</v>
      </c>
      <c r="BR289">
        <v>0</v>
      </c>
      <c r="BS289">
        <v>1</v>
      </c>
      <c r="BT289">
        <v>1</v>
      </c>
      <c r="BU289">
        <v>1</v>
      </c>
      <c r="BV289">
        <v>1</v>
      </c>
      <c r="BW289">
        <v>1</v>
      </c>
      <c r="BX289">
        <v>1</v>
      </c>
      <c r="BZ289">
        <v>0</v>
      </c>
      <c r="CA289">
        <v>0</v>
      </c>
      <c r="CF289">
        <v>0</v>
      </c>
      <c r="CG289">
        <v>0</v>
      </c>
      <c r="CM289">
        <v>0</v>
      </c>
      <c r="CO289">
        <v>0</v>
      </c>
      <c r="CP289">
        <f t="shared" si="253"/>
        <v>5508.47</v>
      </c>
      <c r="CQ289">
        <f t="shared" si="254"/>
        <v>5508.47</v>
      </c>
      <c r="CR289">
        <f>((((ET289)*BB289-(EU289)*BS289)+AE289*BS289)*AV289)</f>
        <v>0</v>
      </c>
      <c r="CS289">
        <f t="shared" si="255"/>
        <v>0</v>
      </c>
      <c r="CT289">
        <f t="shared" si="256"/>
        <v>0</v>
      </c>
      <c r="CU289">
        <f t="shared" si="257"/>
        <v>0</v>
      </c>
      <c r="CV289">
        <f t="shared" si="258"/>
        <v>0</v>
      </c>
      <c r="CW289">
        <f t="shared" si="259"/>
        <v>0</v>
      </c>
      <c r="CX289">
        <f t="shared" si="260"/>
        <v>0</v>
      </c>
      <c r="CY289">
        <f t="shared" si="261"/>
        <v>0</v>
      </c>
      <c r="CZ289">
        <f t="shared" si="262"/>
        <v>0</v>
      </c>
      <c r="DN289">
        <v>105</v>
      </c>
      <c r="DO289">
        <v>77</v>
      </c>
      <c r="DP289">
        <v>1.047</v>
      </c>
      <c r="DQ289">
        <v>1</v>
      </c>
      <c r="DU289">
        <v>1013</v>
      </c>
      <c r="DV289" t="s">
        <v>79</v>
      </c>
      <c r="DW289" t="s">
        <v>79</v>
      </c>
      <c r="DX289">
        <v>1</v>
      </c>
      <c r="EE289">
        <v>34317514</v>
      </c>
      <c r="EF289">
        <v>30</v>
      </c>
      <c r="EG289" t="s">
        <v>28</v>
      </c>
      <c r="EH289">
        <v>0</v>
      </c>
      <c r="EJ289">
        <v>1</v>
      </c>
      <c r="EK289">
        <v>99</v>
      </c>
      <c r="EL289" t="s">
        <v>75</v>
      </c>
      <c r="EM289" t="s">
        <v>76</v>
      </c>
      <c r="EQ289">
        <v>0</v>
      </c>
      <c r="ER289">
        <v>5508.47</v>
      </c>
      <c r="ES289">
        <v>5508.47</v>
      </c>
      <c r="ET289">
        <v>0</v>
      </c>
      <c r="EU289">
        <v>0</v>
      </c>
      <c r="EV289">
        <v>0</v>
      </c>
      <c r="EW289">
        <v>0</v>
      </c>
      <c r="EX289">
        <v>0</v>
      </c>
      <c r="EZ289">
        <v>5</v>
      </c>
      <c r="FC289">
        <v>1</v>
      </c>
      <c r="FD289">
        <v>18</v>
      </c>
      <c r="FF289">
        <v>6500</v>
      </c>
      <c r="FQ289">
        <v>0</v>
      </c>
      <c r="FR289">
        <f t="shared" si="263"/>
        <v>0</v>
      </c>
      <c r="FS289">
        <v>0</v>
      </c>
      <c r="FX289">
        <v>105</v>
      </c>
      <c r="FY289">
        <v>77</v>
      </c>
      <c r="GA289" t="s">
        <v>369</v>
      </c>
      <c r="GD289">
        <v>0</v>
      </c>
      <c r="GF289">
        <v>-1113806162</v>
      </c>
      <c r="GG289">
        <v>2</v>
      </c>
      <c r="GH289">
        <v>3</v>
      </c>
      <c r="GI289">
        <v>-2</v>
      </c>
      <c r="GJ289">
        <v>0</v>
      </c>
      <c r="GK289">
        <f>ROUND(R289*(R12)/100,2)</f>
        <v>0</v>
      </c>
      <c r="GL289">
        <f t="shared" si="264"/>
        <v>0</v>
      </c>
      <c r="GM289">
        <f t="shared" si="265"/>
        <v>5508.47</v>
      </c>
      <c r="GN289">
        <f t="shared" si="266"/>
        <v>5508.47</v>
      </c>
      <c r="GO289">
        <f t="shared" si="267"/>
        <v>0</v>
      </c>
      <c r="GP289">
        <f t="shared" si="268"/>
        <v>0</v>
      </c>
      <c r="GT289">
        <v>0</v>
      </c>
      <c r="GU289">
        <v>1</v>
      </c>
      <c r="GV289">
        <v>0</v>
      </c>
      <c r="GW289">
        <v>0</v>
      </c>
      <c r="GX289">
        <f t="shared" si="269"/>
        <v>0</v>
      </c>
    </row>
    <row r="290" spans="1:206" ht="12.75">
      <c r="A290">
        <v>17</v>
      </c>
      <c r="B290">
        <v>1</v>
      </c>
      <c r="C290">
        <f>ROW(SmtRes!A139)</f>
        <v>139</v>
      </c>
      <c r="E290" t="s">
        <v>370</v>
      </c>
      <c r="F290" t="s">
        <v>173</v>
      </c>
      <c r="G290" t="s">
        <v>174</v>
      </c>
      <c r="H290" t="s">
        <v>165</v>
      </c>
      <c r="I290">
        <v>6</v>
      </c>
      <c r="J290">
        <v>0</v>
      </c>
      <c r="O290">
        <f t="shared" si="238"/>
        <v>35806.33</v>
      </c>
      <c r="P290">
        <f t="shared" si="239"/>
        <v>1924.22</v>
      </c>
      <c r="Q290">
        <f t="shared" si="240"/>
        <v>2603.09</v>
      </c>
      <c r="R290">
        <f t="shared" si="241"/>
        <v>694.14</v>
      </c>
      <c r="S290">
        <f t="shared" si="242"/>
        <v>31279.02</v>
      </c>
      <c r="T290">
        <f t="shared" si="243"/>
        <v>0</v>
      </c>
      <c r="U290">
        <f t="shared" si="244"/>
        <v>116.60020199999998</v>
      </c>
      <c r="V290">
        <f t="shared" si="245"/>
        <v>0</v>
      </c>
      <c r="W290">
        <f t="shared" si="246"/>
        <v>0</v>
      </c>
      <c r="X290">
        <f t="shared" si="247"/>
        <v>28151.12</v>
      </c>
      <c r="Y290">
        <f t="shared" si="248"/>
        <v>13449.98</v>
      </c>
      <c r="AA290">
        <v>34388368</v>
      </c>
      <c r="AB290">
        <f t="shared" si="249"/>
        <v>366.967</v>
      </c>
      <c r="AC290">
        <f t="shared" si="250"/>
        <v>61.32</v>
      </c>
      <c r="AD290">
        <f>ROUND(((((ET290*1.15))-((EU290*1.15)))+AE290),6)</f>
        <v>61.571</v>
      </c>
      <c r="AE290">
        <f>ROUND(((EU290*1.15)),6)</f>
        <v>5.4165</v>
      </c>
      <c r="AF290">
        <f>ROUND(((EV290*1.15)),6)</f>
        <v>244.076</v>
      </c>
      <c r="AG290">
        <f t="shared" si="251"/>
        <v>0</v>
      </c>
      <c r="AH290">
        <f>((EW290*1.15))</f>
        <v>18.561</v>
      </c>
      <c r="AI290">
        <f>((EX290*1.15))</f>
        <v>0</v>
      </c>
      <c r="AJ290">
        <f t="shared" si="252"/>
        <v>0</v>
      </c>
      <c r="AK290">
        <v>327.1</v>
      </c>
      <c r="AL290">
        <v>61.32</v>
      </c>
      <c r="AM290">
        <v>53.54</v>
      </c>
      <c r="AN290">
        <v>4.71</v>
      </c>
      <c r="AO290">
        <v>212.24</v>
      </c>
      <c r="AP290">
        <v>0</v>
      </c>
      <c r="AQ290">
        <v>16.14</v>
      </c>
      <c r="AR290">
        <v>0</v>
      </c>
      <c r="AS290">
        <v>0</v>
      </c>
      <c r="AT290">
        <v>90</v>
      </c>
      <c r="AU290">
        <v>43</v>
      </c>
      <c r="AV290">
        <v>1.047</v>
      </c>
      <c r="AW290">
        <v>1</v>
      </c>
      <c r="AZ290">
        <v>1</v>
      </c>
      <c r="BA290">
        <v>20.4</v>
      </c>
      <c r="BB290">
        <v>6.73</v>
      </c>
      <c r="BC290">
        <v>5.23</v>
      </c>
      <c r="BH290">
        <v>0</v>
      </c>
      <c r="BI290">
        <v>2</v>
      </c>
      <c r="BJ290" t="s">
        <v>175</v>
      </c>
      <c r="BM290">
        <v>1726</v>
      </c>
      <c r="BN290">
        <v>0</v>
      </c>
      <c r="BO290" t="s">
        <v>173</v>
      </c>
      <c r="BP290">
        <v>1</v>
      </c>
      <c r="BQ290">
        <v>40</v>
      </c>
      <c r="BR290">
        <v>0</v>
      </c>
      <c r="BS290">
        <v>20.4</v>
      </c>
      <c r="BT290">
        <v>1</v>
      </c>
      <c r="BU290">
        <v>1</v>
      </c>
      <c r="BV290">
        <v>1</v>
      </c>
      <c r="BW290">
        <v>1</v>
      </c>
      <c r="BX290">
        <v>1</v>
      </c>
      <c r="BZ290">
        <v>90</v>
      </c>
      <c r="CA290">
        <v>43</v>
      </c>
      <c r="CF290">
        <v>0</v>
      </c>
      <c r="CG290">
        <v>0</v>
      </c>
      <c r="CM290">
        <v>0</v>
      </c>
      <c r="CN290" t="s">
        <v>521</v>
      </c>
      <c r="CO290">
        <v>0</v>
      </c>
      <c r="CP290">
        <f t="shared" si="253"/>
        <v>35806.33</v>
      </c>
      <c r="CQ290">
        <f t="shared" si="254"/>
        <v>320.70360000000005</v>
      </c>
      <c r="CR290">
        <f>(((((ET290*1.15))*BB290-((EU290*1.15))*BS290)+AE290*BS290)*AV290)</f>
        <v>433.8483530099999</v>
      </c>
      <c r="CS290">
        <f t="shared" si="255"/>
        <v>115.6899402</v>
      </c>
      <c r="CT290">
        <f t="shared" si="256"/>
        <v>5213.170468799999</v>
      </c>
      <c r="CU290">
        <f t="shared" si="257"/>
        <v>0</v>
      </c>
      <c r="CV290">
        <f t="shared" si="258"/>
        <v>19.433366999999997</v>
      </c>
      <c r="CW290">
        <f t="shared" si="259"/>
        <v>0</v>
      </c>
      <c r="CX290">
        <f t="shared" si="260"/>
        <v>0</v>
      </c>
      <c r="CY290">
        <f t="shared" si="261"/>
        <v>28151.118000000002</v>
      </c>
      <c r="CZ290">
        <f t="shared" si="262"/>
        <v>13449.9786</v>
      </c>
      <c r="DE290" t="s">
        <v>27</v>
      </c>
      <c r="DF290" t="s">
        <v>27</v>
      </c>
      <c r="DG290" t="s">
        <v>27</v>
      </c>
      <c r="DI290" t="s">
        <v>27</v>
      </c>
      <c r="DJ290" t="s">
        <v>27</v>
      </c>
      <c r="DN290">
        <v>112</v>
      </c>
      <c r="DO290">
        <v>70</v>
      </c>
      <c r="DP290">
        <v>1.047</v>
      </c>
      <c r="DQ290">
        <v>1</v>
      </c>
      <c r="DU290">
        <v>1013</v>
      </c>
      <c r="DV290" t="s">
        <v>165</v>
      </c>
      <c r="DW290" t="s">
        <v>165</v>
      </c>
      <c r="DX290">
        <v>1</v>
      </c>
      <c r="EE290">
        <v>34319141</v>
      </c>
      <c r="EF290">
        <v>40</v>
      </c>
      <c r="EG290" t="s">
        <v>49</v>
      </c>
      <c r="EH290">
        <v>0</v>
      </c>
      <c r="EJ290">
        <v>2</v>
      </c>
      <c r="EK290">
        <v>1726</v>
      </c>
      <c r="EL290" t="s">
        <v>167</v>
      </c>
      <c r="EM290" t="s">
        <v>168</v>
      </c>
      <c r="EO290" t="s">
        <v>52</v>
      </c>
      <c r="EQ290">
        <v>0</v>
      </c>
      <c r="ER290">
        <v>327.1</v>
      </c>
      <c r="ES290">
        <v>61.32</v>
      </c>
      <c r="ET290">
        <v>53.54</v>
      </c>
      <c r="EU290">
        <v>4.71</v>
      </c>
      <c r="EV290">
        <v>212.24</v>
      </c>
      <c r="EW290">
        <v>16.14</v>
      </c>
      <c r="EX290">
        <v>0</v>
      </c>
      <c r="EY290">
        <v>0</v>
      </c>
      <c r="FQ290">
        <v>0</v>
      </c>
      <c r="FR290">
        <f t="shared" si="263"/>
        <v>0</v>
      </c>
      <c r="FS290">
        <v>0</v>
      </c>
      <c r="FX290">
        <v>112</v>
      </c>
      <c r="FY290">
        <v>70</v>
      </c>
      <c r="GD290">
        <v>0</v>
      </c>
      <c r="GF290">
        <v>607223126</v>
      </c>
      <c r="GG290">
        <v>2</v>
      </c>
      <c r="GH290">
        <v>1</v>
      </c>
      <c r="GI290">
        <v>2</v>
      </c>
      <c r="GJ290">
        <v>0</v>
      </c>
      <c r="GK290">
        <f>ROUND(R290*(R12)/100,2)</f>
        <v>1159.21</v>
      </c>
      <c r="GL290">
        <f t="shared" si="264"/>
        <v>0</v>
      </c>
      <c r="GM290">
        <f t="shared" si="265"/>
        <v>78566.64</v>
      </c>
      <c r="GN290">
        <f t="shared" si="266"/>
        <v>0</v>
      </c>
      <c r="GO290">
        <f t="shared" si="267"/>
        <v>78566.64</v>
      </c>
      <c r="GP290">
        <f t="shared" si="268"/>
        <v>0</v>
      </c>
      <c r="GT290">
        <v>0</v>
      </c>
      <c r="GU290">
        <v>1</v>
      </c>
      <c r="GV290">
        <v>0</v>
      </c>
      <c r="GW290">
        <v>0</v>
      </c>
      <c r="GX290">
        <f t="shared" si="269"/>
        <v>0</v>
      </c>
    </row>
    <row r="291" spans="1:206" ht="12.75">
      <c r="A291">
        <v>18</v>
      </c>
      <c r="B291">
        <v>1</v>
      </c>
      <c r="C291">
        <v>139</v>
      </c>
      <c r="E291" t="s">
        <v>371</v>
      </c>
      <c r="F291" t="s">
        <v>62</v>
      </c>
      <c r="G291" t="s">
        <v>372</v>
      </c>
      <c r="H291" t="s">
        <v>165</v>
      </c>
      <c r="I291">
        <f>I290*J291</f>
        <v>6</v>
      </c>
      <c r="J291">
        <v>1</v>
      </c>
      <c r="O291">
        <f t="shared" si="238"/>
        <v>135000</v>
      </c>
      <c r="P291">
        <f t="shared" si="239"/>
        <v>135000</v>
      </c>
      <c r="Q291">
        <f t="shared" si="240"/>
        <v>0</v>
      </c>
      <c r="R291">
        <f t="shared" si="241"/>
        <v>0</v>
      </c>
      <c r="S291">
        <f t="shared" si="242"/>
        <v>0</v>
      </c>
      <c r="T291">
        <f t="shared" si="243"/>
        <v>0</v>
      </c>
      <c r="U291">
        <f t="shared" si="244"/>
        <v>0</v>
      </c>
      <c r="V291">
        <f t="shared" si="245"/>
        <v>0</v>
      </c>
      <c r="W291">
        <f t="shared" si="246"/>
        <v>0</v>
      </c>
      <c r="X291">
        <f t="shared" si="247"/>
        <v>0</v>
      </c>
      <c r="Y291">
        <f t="shared" si="248"/>
        <v>0</v>
      </c>
      <c r="AA291">
        <v>34388368</v>
      </c>
      <c r="AB291">
        <f t="shared" si="249"/>
        <v>22500</v>
      </c>
      <c r="AC291">
        <f t="shared" si="250"/>
        <v>22500</v>
      </c>
      <c r="AD291">
        <f>ROUND((((ET291)-(EU291))+AE291),6)</f>
        <v>0</v>
      </c>
      <c r="AE291">
        <f>ROUND((EU291),6)</f>
        <v>0</v>
      </c>
      <c r="AF291">
        <f>ROUND((EV291),6)</f>
        <v>0</v>
      </c>
      <c r="AG291">
        <f t="shared" si="251"/>
        <v>0</v>
      </c>
      <c r="AH291">
        <f>(EW291)</f>
        <v>0</v>
      </c>
      <c r="AI291">
        <f>(EX291)</f>
        <v>0</v>
      </c>
      <c r="AJ291">
        <f t="shared" si="252"/>
        <v>0</v>
      </c>
      <c r="AK291">
        <v>22500</v>
      </c>
      <c r="AL291">
        <v>22500</v>
      </c>
      <c r="AM291">
        <v>0</v>
      </c>
      <c r="AN291">
        <v>0</v>
      </c>
      <c r="AO291">
        <v>0</v>
      </c>
      <c r="AP291">
        <v>0</v>
      </c>
      <c r="AQ291">
        <v>0</v>
      </c>
      <c r="AR291">
        <v>0</v>
      </c>
      <c r="AS291">
        <v>0</v>
      </c>
      <c r="AT291">
        <v>0</v>
      </c>
      <c r="AU291">
        <v>0</v>
      </c>
      <c r="AV291">
        <v>1</v>
      </c>
      <c r="AW291">
        <v>1</v>
      </c>
      <c r="AZ291">
        <v>1</v>
      </c>
      <c r="BA291">
        <v>1</v>
      </c>
      <c r="BB291">
        <v>1</v>
      </c>
      <c r="BC291">
        <v>1</v>
      </c>
      <c r="BH291">
        <v>3</v>
      </c>
      <c r="BI291">
        <v>2</v>
      </c>
      <c r="BM291">
        <v>1726</v>
      </c>
      <c r="BN291">
        <v>0</v>
      </c>
      <c r="BP291">
        <v>0</v>
      </c>
      <c r="BQ291">
        <v>40</v>
      </c>
      <c r="BR291">
        <v>0</v>
      </c>
      <c r="BS291">
        <v>1</v>
      </c>
      <c r="BT291">
        <v>1</v>
      </c>
      <c r="BU291">
        <v>1</v>
      </c>
      <c r="BV291">
        <v>1</v>
      </c>
      <c r="BW291">
        <v>1</v>
      </c>
      <c r="BX291">
        <v>1</v>
      </c>
      <c r="BZ291">
        <v>0</v>
      </c>
      <c r="CA291">
        <v>0</v>
      </c>
      <c r="CF291">
        <v>0</v>
      </c>
      <c r="CG291">
        <v>0</v>
      </c>
      <c r="CM291">
        <v>0</v>
      </c>
      <c r="CO291">
        <v>0</v>
      </c>
      <c r="CP291">
        <f t="shared" si="253"/>
        <v>135000</v>
      </c>
      <c r="CQ291">
        <f t="shared" si="254"/>
        <v>22500</v>
      </c>
      <c r="CR291">
        <f>((((ET291)*BB291-(EU291)*BS291)+AE291*BS291)*AV291)</f>
        <v>0</v>
      </c>
      <c r="CS291">
        <f t="shared" si="255"/>
        <v>0</v>
      </c>
      <c r="CT291">
        <f t="shared" si="256"/>
        <v>0</v>
      </c>
      <c r="CU291">
        <f t="shared" si="257"/>
        <v>0</v>
      </c>
      <c r="CV291">
        <f t="shared" si="258"/>
        <v>0</v>
      </c>
      <c r="CW291">
        <f t="shared" si="259"/>
        <v>0</v>
      </c>
      <c r="CX291">
        <f t="shared" si="260"/>
        <v>0</v>
      </c>
      <c r="CY291">
        <f t="shared" si="261"/>
        <v>0</v>
      </c>
      <c r="CZ291">
        <f t="shared" si="262"/>
        <v>0</v>
      </c>
      <c r="DN291">
        <v>112</v>
      </c>
      <c r="DO291">
        <v>70</v>
      </c>
      <c r="DP291">
        <v>1.047</v>
      </c>
      <c r="DQ291">
        <v>1</v>
      </c>
      <c r="DU291">
        <v>1013</v>
      </c>
      <c r="DV291" t="s">
        <v>165</v>
      </c>
      <c r="DW291" t="s">
        <v>165</v>
      </c>
      <c r="DX291">
        <v>1</v>
      </c>
      <c r="EE291">
        <v>34319141</v>
      </c>
      <c r="EF291">
        <v>40</v>
      </c>
      <c r="EG291" t="s">
        <v>49</v>
      </c>
      <c r="EH291">
        <v>0</v>
      </c>
      <c r="EJ291">
        <v>2</v>
      </c>
      <c r="EK291">
        <v>1726</v>
      </c>
      <c r="EL291" t="s">
        <v>167</v>
      </c>
      <c r="EM291" t="s">
        <v>168</v>
      </c>
      <c r="EQ291">
        <v>0</v>
      </c>
      <c r="ER291">
        <v>22500</v>
      </c>
      <c r="ES291">
        <v>22500</v>
      </c>
      <c r="ET291">
        <v>0</v>
      </c>
      <c r="EU291">
        <v>0</v>
      </c>
      <c r="EV291">
        <v>0</v>
      </c>
      <c r="EW291">
        <v>0</v>
      </c>
      <c r="EX291">
        <v>0</v>
      </c>
      <c r="EZ291">
        <v>5</v>
      </c>
      <c r="FC291">
        <v>1</v>
      </c>
      <c r="FD291">
        <v>18</v>
      </c>
      <c r="FF291">
        <v>26550</v>
      </c>
      <c r="FQ291">
        <v>0</v>
      </c>
      <c r="FR291">
        <f t="shared" si="263"/>
        <v>0</v>
      </c>
      <c r="FS291">
        <v>0</v>
      </c>
      <c r="FX291">
        <v>112</v>
      </c>
      <c r="FY291">
        <v>70</v>
      </c>
      <c r="GA291" t="s">
        <v>373</v>
      </c>
      <c r="GD291">
        <v>0</v>
      </c>
      <c r="GF291">
        <v>-409080022</v>
      </c>
      <c r="GG291">
        <v>2</v>
      </c>
      <c r="GH291">
        <v>3</v>
      </c>
      <c r="GI291">
        <v>-2</v>
      </c>
      <c r="GJ291">
        <v>0</v>
      </c>
      <c r="GK291">
        <f>ROUND(R291*(R12)/100,2)</f>
        <v>0</v>
      </c>
      <c r="GL291">
        <f t="shared" si="264"/>
        <v>0</v>
      </c>
      <c r="GM291">
        <f t="shared" si="265"/>
        <v>135000</v>
      </c>
      <c r="GN291">
        <f t="shared" si="266"/>
        <v>0</v>
      </c>
      <c r="GO291">
        <f t="shared" si="267"/>
        <v>135000</v>
      </c>
      <c r="GP291">
        <f t="shared" si="268"/>
        <v>0</v>
      </c>
      <c r="GT291">
        <v>0</v>
      </c>
      <c r="GU291">
        <v>1</v>
      </c>
      <c r="GV291">
        <v>0</v>
      </c>
      <c r="GW291">
        <v>0</v>
      </c>
      <c r="GX291">
        <f t="shared" si="269"/>
        <v>0</v>
      </c>
    </row>
    <row r="292" spans="1:206" ht="12.75">
      <c r="A292">
        <v>17</v>
      </c>
      <c r="B292">
        <v>1</v>
      </c>
      <c r="C292">
        <f>ROW(SmtRes!A140)</f>
        <v>140</v>
      </c>
      <c r="E292" t="s">
        <v>374</v>
      </c>
      <c r="F292" t="s">
        <v>375</v>
      </c>
      <c r="G292" t="s">
        <v>376</v>
      </c>
      <c r="H292" t="s">
        <v>225</v>
      </c>
      <c r="I292">
        <f>ROUND(795/100,9)</f>
        <v>7.95</v>
      </c>
      <c r="J292">
        <v>0</v>
      </c>
      <c r="O292">
        <f t="shared" si="238"/>
        <v>104336.26</v>
      </c>
      <c r="P292">
        <f t="shared" si="239"/>
        <v>11641.98</v>
      </c>
      <c r="Q292">
        <f t="shared" si="240"/>
        <v>19884.07</v>
      </c>
      <c r="R292">
        <f t="shared" si="241"/>
        <v>10596.28</v>
      </c>
      <c r="S292">
        <f t="shared" si="242"/>
        <v>72810.21</v>
      </c>
      <c r="T292">
        <f t="shared" si="243"/>
        <v>0</v>
      </c>
      <c r="U292">
        <f t="shared" si="244"/>
        <v>289.46325239999993</v>
      </c>
      <c r="V292">
        <f t="shared" si="245"/>
        <v>0</v>
      </c>
      <c r="W292">
        <f t="shared" si="246"/>
        <v>0</v>
      </c>
      <c r="X292">
        <f t="shared" si="247"/>
        <v>65529.19</v>
      </c>
      <c r="Y292">
        <f t="shared" si="248"/>
        <v>31308.39</v>
      </c>
      <c r="AA292">
        <v>34388368</v>
      </c>
      <c r="AB292">
        <f t="shared" si="249"/>
        <v>977.5072</v>
      </c>
      <c r="AC292">
        <f t="shared" si="250"/>
        <v>280</v>
      </c>
      <c r="AD292">
        <f>ROUND((((((ET292*1.2)*1.15))-(((EU292*1.2)*1.15)))+AE292),6)</f>
        <v>268.7136</v>
      </c>
      <c r="AE292">
        <f>ROUND((((EU292*1.2)*1.15)),6)</f>
        <v>62.4036</v>
      </c>
      <c r="AF292">
        <f>ROUND((((EV292*1.2)*1.15)),6)</f>
        <v>428.7936</v>
      </c>
      <c r="AG292">
        <f t="shared" si="251"/>
        <v>0</v>
      </c>
      <c r="AH292">
        <f>(((EW292*1.2)*1.15))</f>
        <v>34.775999999999996</v>
      </c>
      <c r="AI292">
        <f>(((EX292*1.2)*1.15))</f>
        <v>0</v>
      </c>
      <c r="AJ292">
        <f t="shared" si="252"/>
        <v>0</v>
      </c>
      <c r="AK292">
        <v>785.44</v>
      </c>
      <c r="AL292">
        <v>280</v>
      </c>
      <c r="AM292">
        <v>194.72</v>
      </c>
      <c r="AN292">
        <v>45.22</v>
      </c>
      <c r="AO292">
        <v>310.72</v>
      </c>
      <c r="AP292">
        <v>0</v>
      </c>
      <c r="AQ292">
        <v>25.2</v>
      </c>
      <c r="AR292">
        <v>0</v>
      </c>
      <c r="AS292">
        <v>0</v>
      </c>
      <c r="AT292">
        <v>90</v>
      </c>
      <c r="AU292">
        <v>43</v>
      </c>
      <c r="AV292">
        <v>1.047</v>
      </c>
      <c r="AW292">
        <v>1</v>
      </c>
      <c r="AZ292">
        <v>1</v>
      </c>
      <c r="BA292">
        <v>20.4</v>
      </c>
      <c r="BB292">
        <v>8.89</v>
      </c>
      <c r="BC292">
        <v>5.23</v>
      </c>
      <c r="BH292">
        <v>0</v>
      </c>
      <c r="BI292">
        <v>2</v>
      </c>
      <c r="BJ292" t="s">
        <v>377</v>
      </c>
      <c r="BM292">
        <v>320</v>
      </c>
      <c r="BN292">
        <v>0</v>
      </c>
      <c r="BO292" t="s">
        <v>375</v>
      </c>
      <c r="BP292">
        <v>1</v>
      </c>
      <c r="BQ292">
        <v>40</v>
      </c>
      <c r="BR292">
        <v>0</v>
      </c>
      <c r="BS292">
        <v>20.4</v>
      </c>
      <c r="BT292">
        <v>1</v>
      </c>
      <c r="BU292">
        <v>1</v>
      </c>
      <c r="BV292">
        <v>1</v>
      </c>
      <c r="BW292">
        <v>1</v>
      </c>
      <c r="BX292">
        <v>1</v>
      </c>
      <c r="BZ292">
        <v>90</v>
      </c>
      <c r="CA292">
        <v>43</v>
      </c>
      <c r="CF292">
        <v>0</v>
      </c>
      <c r="CG292">
        <v>0</v>
      </c>
      <c r="CM292">
        <v>0</v>
      </c>
      <c r="CN292" t="s">
        <v>523</v>
      </c>
      <c r="CO292">
        <v>0</v>
      </c>
      <c r="CP292">
        <f t="shared" si="253"/>
        <v>104336.26000000001</v>
      </c>
      <c r="CQ292">
        <f t="shared" si="254"/>
        <v>1464.4</v>
      </c>
      <c r="CR292">
        <f>((((((ET292*1.2)*1.15))*BB292-(((EU292*1.2)*1.15))*BS292)+AE292*BS292)*AV292)</f>
        <v>2501.1405074879995</v>
      </c>
      <c r="CS292">
        <f t="shared" si="255"/>
        <v>1332.86601168</v>
      </c>
      <c r="CT292">
        <f t="shared" si="256"/>
        <v>9158.51674368</v>
      </c>
      <c r="CU292">
        <f t="shared" si="257"/>
        <v>0</v>
      </c>
      <c r="CV292">
        <f t="shared" si="258"/>
        <v>36.41047199999999</v>
      </c>
      <c r="CW292">
        <f t="shared" si="259"/>
        <v>0</v>
      </c>
      <c r="CX292">
        <f t="shared" si="260"/>
        <v>0</v>
      </c>
      <c r="CY292">
        <f t="shared" si="261"/>
        <v>65529.189000000006</v>
      </c>
      <c r="CZ292">
        <f t="shared" si="262"/>
        <v>31308.390300000003</v>
      </c>
      <c r="DE292" t="s">
        <v>343</v>
      </c>
      <c r="DF292" t="s">
        <v>343</v>
      </c>
      <c r="DG292" t="s">
        <v>343</v>
      </c>
      <c r="DI292" t="s">
        <v>343</v>
      </c>
      <c r="DJ292" t="s">
        <v>343</v>
      </c>
      <c r="DN292">
        <v>112</v>
      </c>
      <c r="DO292">
        <v>70</v>
      </c>
      <c r="DP292">
        <v>1.047</v>
      </c>
      <c r="DQ292">
        <v>1</v>
      </c>
      <c r="DU292">
        <v>1005</v>
      </c>
      <c r="DV292" t="s">
        <v>225</v>
      </c>
      <c r="DW292" t="s">
        <v>225</v>
      </c>
      <c r="DX292">
        <v>100</v>
      </c>
      <c r="EE292">
        <v>34317735</v>
      </c>
      <c r="EF292">
        <v>40</v>
      </c>
      <c r="EG292" t="s">
        <v>49</v>
      </c>
      <c r="EH292">
        <v>0</v>
      </c>
      <c r="EJ292">
        <v>2</v>
      </c>
      <c r="EK292">
        <v>320</v>
      </c>
      <c r="EL292" t="s">
        <v>186</v>
      </c>
      <c r="EM292" t="s">
        <v>187</v>
      </c>
      <c r="EO292" t="s">
        <v>356</v>
      </c>
      <c r="EQ292">
        <v>0</v>
      </c>
      <c r="ER292">
        <v>785.44</v>
      </c>
      <c r="ES292">
        <v>280</v>
      </c>
      <c r="ET292">
        <v>194.72</v>
      </c>
      <c r="EU292">
        <v>45.22</v>
      </c>
      <c r="EV292">
        <v>310.72</v>
      </c>
      <c r="EW292">
        <v>25.2</v>
      </c>
      <c r="EX292">
        <v>0</v>
      </c>
      <c r="EY292">
        <v>0</v>
      </c>
      <c r="FQ292">
        <v>0</v>
      </c>
      <c r="FR292">
        <f t="shared" si="263"/>
        <v>0</v>
      </c>
      <c r="FS292">
        <v>0</v>
      </c>
      <c r="FX292">
        <v>112</v>
      </c>
      <c r="FY292">
        <v>70</v>
      </c>
      <c r="GD292">
        <v>0</v>
      </c>
      <c r="GF292">
        <v>-556765091</v>
      </c>
      <c r="GG292">
        <v>2</v>
      </c>
      <c r="GH292">
        <v>1</v>
      </c>
      <c r="GI292">
        <v>2</v>
      </c>
      <c r="GJ292">
        <v>0</v>
      </c>
      <c r="GK292">
        <f>ROUND(R292*(R12)/100,2)</f>
        <v>17695.79</v>
      </c>
      <c r="GL292">
        <f t="shared" si="264"/>
        <v>0</v>
      </c>
      <c r="GM292">
        <f t="shared" si="265"/>
        <v>218869.63000000003</v>
      </c>
      <c r="GN292">
        <f t="shared" si="266"/>
        <v>0</v>
      </c>
      <c r="GO292">
        <f t="shared" si="267"/>
        <v>218869.63</v>
      </c>
      <c r="GP292">
        <f t="shared" si="268"/>
        <v>0</v>
      </c>
      <c r="GT292">
        <v>0</v>
      </c>
      <c r="GU292">
        <v>1</v>
      </c>
      <c r="GV292">
        <v>0</v>
      </c>
      <c r="GW292">
        <v>0</v>
      </c>
      <c r="GX292">
        <f t="shared" si="269"/>
        <v>0</v>
      </c>
    </row>
    <row r="293" spans="1:206" ht="12.75">
      <c r="A293">
        <v>18</v>
      </c>
      <c r="B293">
        <v>1</v>
      </c>
      <c r="C293">
        <v>140</v>
      </c>
      <c r="E293" t="s">
        <v>378</v>
      </c>
      <c r="F293" t="s">
        <v>62</v>
      </c>
      <c r="G293" t="s">
        <v>379</v>
      </c>
      <c r="H293" t="s">
        <v>165</v>
      </c>
      <c r="I293">
        <f>I292*J293</f>
        <v>1325</v>
      </c>
      <c r="J293">
        <v>166.66666666666666</v>
      </c>
      <c r="O293">
        <f t="shared" si="238"/>
        <v>1358681.5</v>
      </c>
      <c r="P293">
        <f t="shared" si="239"/>
        <v>1358681.5</v>
      </c>
      <c r="Q293">
        <f t="shared" si="240"/>
        <v>0</v>
      </c>
      <c r="R293">
        <f t="shared" si="241"/>
        <v>0</v>
      </c>
      <c r="S293">
        <f t="shared" si="242"/>
        <v>0</v>
      </c>
      <c r="T293">
        <f t="shared" si="243"/>
        <v>0</v>
      </c>
      <c r="U293">
        <f t="shared" si="244"/>
        <v>0</v>
      </c>
      <c r="V293">
        <f t="shared" si="245"/>
        <v>0</v>
      </c>
      <c r="W293">
        <f t="shared" si="246"/>
        <v>0</v>
      </c>
      <c r="X293">
        <f t="shared" si="247"/>
        <v>0</v>
      </c>
      <c r="Y293">
        <f t="shared" si="248"/>
        <v>0</v>
      </c>
      <c r="AA293">
        <v>34388368</v>
      </c>
      <c r="AB293">
        <f t="shared" si="249"/>
        <v>1025.42</v>
      </c>
      <c r="AC293">
        <f t="shared" si="250"/>
        <v>1025.42</v>
      </c>
      <c r="AD293">
        <f>ROUND((((ET293)-(EU293))+AE293),6)</f>
        <v>0</v>
      </c>
      <c r="AE293">
        <f>ROUND((EU293),6)</f>
        <v>0</v>
      </c>
      <c r="AF293">
        <f>ROUND((EV293),6)</f>
        <v>0</v>
      </c>
      <c r="AG293">
        <f t="shared" si="251"/>
        <v>0</v>
      </c>
      <c r="AH293">
        <f>(EW293)</f>
        <v>0</v>
      </c>
      <c r="AI293">
        <f>(EX293)</f>
        <v>0</v>
      </c>
      <c r="AJ293">
        <f t="shared" si="252"/>
        <v>0</v>
      </c>
      <c r="AK293">
        <v>1025.42</v>
      </c>
      <c r="AL293">
        <v>1025.42</v>
      </c>
      <c r="AM293">
        <v>0</v>
      </c>
      <c r="AN293">
        <v>0</v>
      </c>
      <c r="AO293">
        <v>0</v>
      </c>
      <c r="AP293">
        <v>0</v>
      </c>
      <c r="AQ293">
        <v>0</v>
      </c>
      <c r="AR293">
        <v>0</v>
      </c>
      <c r="AS293">
        <v>0</v>
      </c>
      <c r="AT293">
        <v>0</v>
      </c>
      <c r="AU293">
        <v>0</v>
      </c>
      <c r="AV293">
        <v>1</v>
      </c>
      <c r="AW293">
        <v>1</v>
      </c>
      <c r="AZ293">
        <v>1</v>
      </c>
      <c r="BA293">
        <v>1</v>
      </c>
      <c r="BB293">
        <v>1</v>
      </c>
      <c r="BC293">
        <v>1</v>
      </c>
      <c r="BH293">
        <v>3</v>
      </c>
      <c r="BI293">
        <v>2</v>
      </c>
      <c r="BM293">
        <v>320</v>
      </c>
      <c r="BN293">
        <v>0</v>
      </c>
      <c r="BP293">
        <v>0</v>
      </c>
      <c r="BQ293">
        <v>40</v>
      </c>
      <c r="BR293">
        <v>0</v>
      </c>
      <c r="BS293">
        <v>1</v>
      </c>
      <c r="BT293">
        <v>1</v>
      </c>
      <c r="BU293">
        <v>1</v>
      </c>
      <c r="BV293">
        <v>1</v>
      </c>
      <c r="BW293">
        <v>1</v>
      </c>
      <c r="BX293">
        <v>1</v>
      </c>
      <c r="BZ293">
        <v>0</v>
      </c>
      <c r="CA293">
        <v>0</v>
      </c>
      <c r="CF293">
        <v>0</v>
      </c>
      <c r="CG293">
        <v>0</v>
      </c>
      <c r="CM293">
        <v>0</v>
      </c>
      <c r="CO293">
        <v>0</v>
      </c>
      <c r="CP293">
        <f t="shared" si="253"/>
        <v>1358681.5</v>
      </c>
      <c r="CQ293">
        <f t="shared" si="254"/>
        <v>1025.42</v>
      </c>
      <c r="CR293">
        <f>((((ET293)*BB293-(EU293)*BS293)+AE293*BS293)*AV293)</f>
        <v>0</v>
      </c>
      <c r="CS293">
        <f t="shared" si="255"/>
        <v>0</v>
      </c>
      <c r="CT293">
        <f t="shared" si="256"/>
        <v>0</v>
      </c>
      <c r="CU293">
        <f t="shared" si="257"/>
        <v>0</v>
      </c>
      <c r="CV293">
        <f t="shared" si="258"/>
        <v>0</v>
      </c>
      <c r="CW293">
        <f t="shared" si="259"/>
        <v>0</v>
      </c>
      <c r="CX293">
        <f t="shared" si="260"/>
        <v>0</v>
      </c>
      <c r="CY293">
        <f t="shared" si="261"/>
        <v>0</v>
      </c>
      <c r="CZ293">
        <f t="shared" si="262"/>
        <v>0</v>
      </c>
      <c r="DN293">
        <v>112</v>
      </c>
      <c r="DO293">
        <v>70</v>
      </c>
      <c r="DP293">
        <v>1.047</v>
      </c>
      <c r="DQ293">
        <v>1</v>
      </c>
      <c r="DU293">
        <v>1013</v>
      </c>
      <c r="DV293" t="s">
        <v>165</v>
      </c>
      <c r="DW293" t="s">
        <v>165</v>
      </c>
      <c r="DX293">
        <v>1</v>
      </c>
      <c r="EE293">
        <v>34317735</v>
      </c>
      <c r="EF293">
        <v>40</v>
      </c>
      <c r="EG293" t="s">
        <v>49</v>
      </c>
      <c r="EH293">
        <v>0</v>
      </c>
      <c r="EJ293">
        <v>2</v>
      </c>
      <c r="EK293">
        <v>320</v>
      </c>
      <c r="EL293" t="s">
        <v>186</v>
      </c>
      <c r="EM293" t="s">
        <v>187</v>
      </c>
      <c r="EQ293">
        <v>0</v>
      </c>
      <c r="ER293">
        <v>1025.42</v>
      </c>
      <c r="ES293">
        <v>1025.42</v>
      </c>
      <c r="ET293">
        <v>0</v>
      </c>
      <c r="EU293">
        <v>0</v>
      </c>
      <c r="EV293">
        <v>0</v>
      </c>
      <c r="EW293">
        <v>0</v>
      </c>
      <c r="EX293">
        <v>0</v>
      </c>
      <c r="EZ293">
        <v>5</v>
      </c>
      <c r="FC293">
        <v>1</v>
      </c>
      <c r="FD293">
        <v>18</v>
      </c>
      <c r="FF293">
        <v>1210</v>
      </c>
      <c r="FQ293">
        <v>0</v>
      </c>
      <c r="FR293">
        <f t="shared" si="263"/>
        <v>0</v>
      </c>
      <c r="FS293">
        <v>0</v>
      </c>
      <c r="FX293">
        <v>112</v>
      </c>
      <c r="FY293">
        <v>70</v>
      </c>
      <c r="GA293" t="s">
        <v>380</v>
      </c>
      <c r="GD293">
        <v>0</v>
      </c>
      <c r="GF293">
        <v>1594868299</v>
      </c>
      <c r="GG293">
        <v>2</v>
      </c>
      <c r="GH293">
        <v>3</v>
      </c>
      <c r="GI293">
        <v>-2</v>
      </c>
      <c r="GJ293">
        <v>0</v>
      </c>
      <c r="GK293">
        <f>ROUND(R293*(R12)/100,2)</f>
        <v>0</v>
      </c>
      <c r="GL293">
        <f t="shared" si="264"/>
        <v>0</v>
      </c>
      <c r="GM293">
        <f t="shared" si="265"/>
        <v>1358681.5</v>
      </c>
      <c r="GN293">
        <f t="shared" si="266"/>
        <v>0</v>
      </c>
      <c r="GO293">
        <f t="shared" si="267"/>
        <v>1358681.5</v>
      </c>
      <c r="GP293">
        <f t="shared" si="268"/>
        <v>0</v>
      </c>
      <c r="GT293">
        <v>0</v>
      </c>
      <c r="GU293">
        <v>1</v>
      </c>
      <c r="GV293">
        <v>0</v>
      </c>
      <c r="GW293">
        <v>0</v>
      </c>
      <c r="GX293">
        <f t="shared" si="269"/>
        <v>0</v>
      </c>
    </row>
    <row r="295" spans="1:118" ht="12.75">
      <c r="A295" s="2">
        <v>51</v>
      </c>
      <c r="B295" s="2">
        <f>B278</f>
        <v>1</v>
      </c>
      <c r="C295" s="2">
        <f>A278</f>
        <v>5</v>
      </c>
      <c r="D295" s="2">
        <f>ROW(A278)</f>
        <v>278</v>
      </c>
      <c r="E295" s="2"/>
      <c r="F295" s="2" t="str">
        <f>IF(F278&lt;&gt;"",F278,"")</f>
        <v>Новый подраздел</v>
      </c>
      <c r="G295" s="2" t="str">
        <f>IF(G278&lt;&gt;"",G278,"")</f>
        <v>КЛ-20 кВ по кабельному коллектору  ПК16 - ПК172</v>
      </c>
      <c r="H295" s="2"/>
      <c r="I295" s="2"/>
      <c r="J295" s="2"/>
      <c r="K295" s="2"/>
      <c r="L295" s="2"/>
      <c r="M295" s="2"/>
      <c r="N295" s="2"/>
      <c r="O295" s="2">
        <f aca="true" t="shared" si="270" ref="O295:T295">ROUND(AB295,2)</f>
        <v>9629158.98</v>
      </c>
      <c r="P295" s="2">
        <f t="shared" si="270"/>
        <v>7772363.7</v>
      </c>
      <c r="Q295" s="2">
        <f t="shared" si="270"/>
        <v>834347.4</v>
      </c>
      <c r="R295" s="2">
        <f t="shared" si="270"/>
        <v>328033.81</v>
      </c>
      <c r="S295" s="2">
        <f t="shared" si="270"/>
        <v>1022447.88</v>
      </c>
      <c r="T295" s="2">
        <f t="shared" si="270"/>
        <v>0</v>
      </c>
      <c r="U295" s="2">
        <f>AH295</f>
        <v>4059.090408455999</v>
      </c>
      <c r="V295" s="2">
        <f>AI295</f>
        <v>0</v>
      </c>
      <c r="W295" s="2">
        <f>ROUND(AJ295,2)</f>
        <v>0</v>
      </c>
      <c r="X295" s="2">
        <f>ROUND(AK295,2)</f>
        <v>919794.01</v>
      </c>
      <c r="Y295" s="2">
        <f>ROUND(AL295,2)</f>
        <v>439488.95</v>
      </c>
      <c r="Z295" s="2"/>
      <c r="AA295" s="2"/>
      <c r="AB295" s="2">
        <f>ROUND(SUMIF(AA282:AA293,"=34388368",O282:O293),2)</f>
        <v>9629158.98</v>
      </c>
      <c r="AC295" s="2">
        <f>ROUND(SUMIF(AA282:AA293,"=34388368",P282:P293),2)</f>
        <v>7772363.7</v>
      </c>
      <c r="AD295" s="2">
        <f>ROUND(SUMIF(AA282:AA293,"=34388368",Q282:Q293),2)</f>
        <v>834347.4</v>
      </c>
      <c r="AE295" s="2">
        <f>ROUND(SUMIF(AA282:AA293,"=34388368",R282:R293),2)</f>
        <v>328033.81</v>
      </c>
      <c r="AF295" s="2">
        <f>ROUND(SUMIF(AA282:AA293,"=34388368",S282:S293),2)</f>
        <v>1022447.88</v>
      </c>
      <c r="AG295" s="2">
        <f>ROUND(SUMIF(AA282:AA293,"=34388368",T282:T293),2)</f>
        <v>0</v>
      </c>
      <c r="AH295" s="2">
        <f>SUMIF(AA282:AA293,"=34388368",U282:U293)</f>
        <v>4059.090408455999</v>
      </c>
      <c r="AI295" s="2">
        <f>SUMIF(AA282:AA293,"=34388368",V282:V293)</f>
        <v>0</v>
      </c>
      <c r="AJ295" s="2">
        <f>ROUND(SUMIF(AA282:AA293,"=34388368",W282:W293),2)</f>
        <v>0</v>
      </c>
      <c r="AK295" s="2">
        <f>ROUND(SUMIF(AA282:AA293,"=34388368",X282:X293),2)</f>
        <v>919794.01</v>
      </c>
      <c r="AL295" s="2">
        <f>ROUND(SUMIF(AA282:AA293,"=34388368",Y282:Y293),2)</f>
        <v>439488.95</v>
      </c>
      <c r="AM295" s="2"/>
      <c r="AN295" s="2"/>
      <c r="AO295" s="2">
        <f aca="true" t="shared" si="271" ref="AO295:AZ295">ROUND(BB295,2)</f>
        <v>0</v>
      </c>
      <c r="AP295" s="2">
        <f t="shared" si="271"/>
        <v>0</v>
      </c>
      <c r="AQ295" s="2">
        <f t="shared" si="271"/>
        <v>0</v>
      </c>
      <c r="AR295" s="2">
        <f t="shared" si="271"/>
        <v>11536258.4</v>
      </c>
      <c r="AS295" s="2">
        <f t="shared" si="271"/>
        <v>5630425.78</v>
      </c>
      <c r="AT295" s="2">
        <f t="shared" si="271"/>
        <v>5905832.62</v>
      </c>
      <c r="AU295" s="2">
        <f t="shared" si="271"/>
        <v>0</v>
      </c>
      <c r="AV295" s="2">
        <f t="shared" si="271"/>
        <v>7772363.7</v>
      </c>
      <c r="AW295" s="2">
        <f t="shared" si="271"/>
        <v>7772363.7</v>
      </c>
      <c r="AX295" s="2">
        <f t="shared" si="271"/>
        <v>0</v>
      </c>
      <c r="AY295" s="2">
        <f t="shared" si="271"/>
        <v>7772363.7</v>
      </c>
      <c r="AZ295" s="2">
        <f t="shared" si="271"/>
        <v>0</v>
      </c>
      <c r="BA295" s="2"/>
      <c r="BB295" s="2">
        <f>ROUND(SUMIF(AA282:AA293,"=34388368",FQ282:FQ293),2)</f>
        <v>0</v>
      </c>
      <c r="BC295" s="2">
        <f>ROUND(SUMIF(AA282:AA293,"=34388368",FR282:FR293),2)</f>
        <v>0</v>
      </c>
      <c r="BD295" s="2">
        <f>ROUND(SUMIF(AA282:AA293,"=34388368",GL282:GL293),2)</f>
        <v>0</v>
      </c>
      <c r="BE295" s="2">
        <f>ROUND(SUMIF(AA282:AA293,"=34388368",GM282:GM293),2)</f>
        <v>11536258.4</v>
      </c>
      <c r="BF295" s="2">
        <f>ROUND(SUMIF(AA282:AA293,"=34388368",GN282:GN293),2)</f>
        <v>5630425.78</v>
      </c>
      <c r="BG295" s="2">
        <f>ROUND(SUMIF(AA282:AA293,"=34388368",GO282:GO293),2)</f>
        <v>5905832.62</v>
      </c>
      <c r="BH295" s="2">
        <f>ROUND(SUMIF(AA282:AA293,"=34388368",GP282:GP293),2)</f>
        <v>0</v>
      </c>
      <c r="BI295" s="2">
        <f>AC295-BB295</f>
        <v>7772363.7</v>
      </c>
      <c r="BJ295" s="2">
        <f>AC295-BC295</f>
        <v>7772363.7</v>
      </c>
      <c r="BK295" s="2">
        <f>BB295-BD295</f>
        <v>0</v>
      </c>
      <c r="BL295" s="2">
        <f>AC295-BB295-BC295+BD295</f>
        <v>7772363.7</v>
      </c>
      <c r="BM295" s="2">
        <f>BC295-BD295</f>
        <v>0</v>
      </c>
      <c r="BN295" s="2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>
        <v>0</v>
      </c>
    </row>
    <row r="297" spans="1:16" ht="12.75">
      <c r="A297" s="4">
        <v>50</v>
      </c>
      <c r="B297" s="4">
        <v>0</v>
      </c>
      <c r="C297" s="4">
        <v>0</v>
      </c>
      <c r="D297" s="4">
        <v>1</v>
      </c>
      <c r="E297" s="4">
        <v>201</v>
      </c>
      <c r="F297" s="4">
        <f>ROUND(Source!O295,O297)</f>
        <v>9629158.98</v>
      </c>
      <c r="G297" s="4" t="s">
        <v>97</v>
      </c>
      <c r="H297" s="4" t="s">
        <v>98</v>
      </c>
      <c r="I297" s="4"/>
      <c r="J297" s="4"/>
      <c r="K297" s="4">
        <v>201</v>
      </c>
      <c r="L297" s="4">
        <v>1</v>
      </c>
      <c r="M297" s="4">
        <v>3</v>
      </c>
      <c r="N297" s="4" t="s">
        <v>6</v>
      </c>
      <c r="O297" s="4">
        <v>2</v>
      </c>
      <c r="P297" s="4"/>
    </row>
    <row r="298" spans="1:16" ht="12.75">
      <c r="A298" s="4">
        <v>50</v>
      </c>
      <c r="B298" s="4">
        <v>0</v>
      </c>
      <c r="C298" s="4">
        <v>0</v>
      </c>
      <c r="D298" s="4">
        <v>1</v>
      </c>
      <c r="E298" s="4">
        <v>202</v>
      </c>
      <c r="F298" s="4">
        <f>ROUND(Source!P295,O298)</f>
        <v>7772363.7</v>
      </c>
      <c r="G298" s="4" t="s">
        <v>99</v>
      </c>
      <c r="H298" s="4" t="s">
        <v>100</v>
      </c>
      <c r="I298" s="4"/>
      <c r="J298" s="4"/>
      <c r="K298" s="4">
        <v>202</v>
      </c>
      <c r="L298" s="4">
        <v>2</v>
      </c>
      <c r="M298" s="4">
        <v>3</v>
      </c>
      <c r="N298" s="4" t="s">
        <v>6</v>
      </c>
      <c r="O298" s="4">
        <v>2</v>
      </c>
      <c r="P298" s="4"/>
    </row>
    <row r="299" spans="1:16" ht="12.75">
      <c r="A299" s="4">
        <v>50</v>
      </c>
      <c r="B299" s="4">
        <v>0</v>
      </c>
      <c r="C299" s="4">
        <v>0</v>
      </c>
      <c r="D299" s="4">
        <v>1</v>
      </c>
      <c r="E299" s="4">
        <v>222</v>
      </c>
      <c r="F299" s="4">
        <f>ROUND(Source!AO295,O299)</f>
        <v>0</v>
      </c>
      <c r="G299" s="4" t="s">
        <v>101</v>
      </c>
      <c r="H299" s="4" t="s">
        <v>102</v>
      </c>
      <c r="I299" s="4"/>
      <c r="J299" s="4"/>
      <c r="K299" s="4">
        <v>222</v>
      </c>
      <c r="L299" s="4">
        <v>3</v>
      </c>
      <c r="M299" s="4">
        <v>3</v>
      </c>
      <c r="N299" s="4" t="s">
        <v>6</v>
      </c>
      <c r="O299" s="4">
        <v>2</v>
      </c>
      <c r="P299" s="4"/>
    </row>
    <row r="300" spans="1:16" ht="12.75">
      <c r="A300" s="4">
        <v>50</v>
      </c>
      <c r="B300" s="4">
        <v>0</v>
      </c>
      <c r="C300" s="4">
        <v>0</v>
      </c>
      <c r="D300" s="4">
        <v>1</v>
      </c>
      <c r="E300" s="4">
        <v>225</v>
      </c>
      <c r="F300" s="4">
        <f>ROUND(Source!AV295,O300)</f>
        <v>7772363.7</v>
      </c>
      <c r="G300" s="4" t="s">
        <v>103</v>
      </c>
      <c r="H300" s="4" t="s">
        <v>104</v>
      </c>
      <c r="I300" s="4"/>
      <c r="J300" s="4"/>
      <c r="K300" s="4">
        <v>225</v>
      </c>
      <c r="L300" s="4">
        <v>4</v>
      </c>
      <c r="M300" s="4">
        <v>3</v>
      </c>
      <c r="N300" s="4" t="s">
        <v>6</v>
      </c>
      <c r="O300" s="4">
        <v>2</v>
      </c>
      <c r="P300" s="4"/>
    </row>
    <row r="301" spans="1:16" ht="12.75">
      <c r="A301" s="4">
        <v>50</v>
      </c>
      <c r="B301" s="4">
        <v>0</v>
      </c>
      <c r="C301" s="4">
        <v>0</v>
      </c>
      <c r="D301" s="4">
        <v>1</v>
      </c>
      <c r="E301" s="4">
        <v>226</v>
      </c>
      <c r="F301" s="4">
        <f>ROUND(Source!AW295,O301)</f>
        <v>7772363.7</v>
      </c>
      <c r="G301" s="4" t="s">
        <v>105</v>
      </c>
      <c r="H301" s="4" t="s">
        <v>106</v>
      </c>
      <c r="I301" s="4"/>
      <c r="J301" s="4"/>
      <c r="K301" s="4">
        <v>226</v>
      </c>
      <c r="L301" s="4">
        <v>5</v>
      </c>
      <c r="M301" s="4">
        <v>3</v>
      </c>
      <c r="N301" s="4" t="s">
        <v>6</v>
      </c>
      <c r="O301" s="4">
        <v>2</v>
      </c>
      <c r="P301" s="4"/>
    </row>
    <row r="302" spans="1:16" ht="12.75">
      <c r="A302" s="4">
        <v>50</v>
      </c>
      <c r="B302" s="4">
        <v>0</v>
      </c>
      <c r="C302" s="4">
        <v>0</v>
      </c>
      <c r="D302" s="4">
        <v>1</v>
      </c>
      <c r="E302" s="4">
        <v>227</v>
      </c>
      <c r="F302" s="4">
        <f>ROUND(Source!AX295,O302)</f>
        <v>0</v>
      </c>
      <c r="G302" s="4" t="s">
        <v>107</v>
      </c>
      <c r="H302" s="4" t="s">
        <v>108</v>
      </c>
      <c r="I302" s="4"/>
      <c r="J302" s="4"/>
      <c r="K302" s="4">
        <v>227</v>
      </c>
      <c r="L302" s="4">
        <v>6</v>
      </c>
      <c r="M302" s="4">
        <v>3</v>
      </c>
      <c r="N302" s="4" t="s">
        <v>6</v>
      </c>
      <c r="O302" s="4">
        <v>2</v>
      </c>
      <c r="P302" s="4"/>
    </row>
    <row r="303" spans="1:16" ht="12.75">
      <c r="A303" s="4">
        <v>50</v>
      </c>
      <c r="B303" s="4">
        <v>0</v>
      </c>
      <c r="C303" s="4">
        <v>0</v>
      </c>
      <c r="D303" s="4">
        <v>1</v>
      </c>
      <c r="E303" s="4">
        <v>228</v>
      </c>
      <c r="F303" s="4">
        <f>ROUND(Source!AY295,O303)</f>
        <v>7772363.7</v>
      </c>
      <c r="G303" s="4" t="s">
        <v>109</v>
      </c>
      <c r="H303" s="4" t="s">
        <v>110</v>
      </c>
      <c r="I303" s="4"/>
      <c r="J303" s="4"/>
      <c r="K303" s="4">
        <v>228</v>
      </c>
      <c r="L303" s="4">
        <v>7</v>
      </c>
      <c r="M303" s="4">
        <v>3</v>
      </c>
      <c r="N303" s="4" t="s">
        <v>6</v>
      </c>
      <c r="O303" s="4">
        <v>2</v>
      </c>
      <c r="P303" s="4"/>
    </row>
    <row r="304" spans="1:16" ht="12.75">
      <c r="A304" s="4">
        <v>50</v>
      </c>
      <c r="B304" s="4">
        <v>0</v>
      </c>
      <c r="C304" s="4">
        <v>0</v>
      </c>
      <c r="D304" s="4">
        <v>1</v>
      </c>
      <c r="E304" s="4">
        <v>216</v>
      </c>
      <c r="F304" s="4">
        <f>ROUND(Source!AP295,O304)</f>
        <v>0</v>
      </c>
      <c r="G304" s="4" t="s">
        <v>111</v>
      </c>
      <c r="H304" s="4" t="s">
        <v>112</v>
      </c>
      <c r="I304" s="4"/>
      <c r="J304" s="4"/>
      <c r="K304" s="4">
        <v>216</v>
      </c>
      <c r="L304" s="4">
        <v>8</v>
      </c>
      <c r="M304" s="4">
        <v>3</v>
      </c>
      <c r="N304" s="4" t="s">
        <v>6</v>
      </c>
      <c r="O304" s="4">
        <v>2</v>
      </c>
      <c r="P304" s="4"/>
    </row>
    <row r="305" spans="1:16" ht="12.75">
      <c r="A305" s="4">
        <v>50</v>
      </c>
      <c r="B305" s="4">
        <v>0</v>
      </c>
      <c r="C305" s="4">
        <v>0</v>
      </c>
      <c r="D305" s="4">
        <v>1</v>
      </c>
      <c r="E305" s="4">
        <v>223</v>
      </c>
      <c r="F305" s="4">
        <f>ROUND(Source!AQ295,O305)</f>
        <v>0</v>
      </c>
      <c r="G305" s="4" t="s">
        <v>113</v>
      </c>
      <c r="H305" s="4" t="s">
        <v>114</v>
      </c>
      <c r="I305" s="4"/>
      <c r="J305" s="4"/>
      <c r="K305" s="4">
        <v>223</v>
      </c>
      <c r="L305" s="4">
        <v>9</v>
      </c>
      <c r="M305" s="4">
        <v>3</v>
      </c>
      <c r="N305" s="4" t="s">
        <v>6</v>
      </c>
      <c r="O305" s="4">
        <v>2</v>
      </c>
      <c r="P305" s="4"/>
    </row>
    <row r="306" spans="1:16" ht="12.75">
      <c r="A306" s="4">
        <v>50</v>
      </c>
      <c r="B306" s="4">
        <v>0</v>
      </c>
      <c r="C306" s="4">
        <v>0</v>
      </c>
      <c r="D306" s="4">
        <v>1</v>
      </c>
      <c r="E306" s="4">
        <v>229</v>
      </c>
      <c r="F306" s="4">
        <f>ROUND(Source!AZ295,O306)</f>
        <v>0</v>
      </c>
      <c r="G306" s="4" t="s">
        <v>115</v>
      </c>
      <c r="H306" s="4" t="s">
        <v>116</v>
      </c>
      <c r="I306" s="4"/>
      <c r="J306" s="4"/>
      <c r="K306" s="4">
        <v>229</v>
      </c>
      <c r="L306" s="4">
        <v>10</v>
      </c>
      <c r="M306" s="4">
        <v>3</v>
      </c>
      <c r="N306" s="4" t="s">
        <v>6</v>
      </c>
      <c r="O306" s="4">
        <v>2</v>
      </c>
      <c r="P306" s="4"/>
    </row>
    <row r="307" spans="1:16" ht="12.75">
      <c r="A307" s="4">
        <v>50</v>
      </c>
      <c r="B307" s="4">
        <v>0</v>
      </c>
      <c r="C307" s="4">
        <v>0</v>
      </c>
      <c r="D307" s="4">
        <v>1</v>
      </c>
      <c r="E307" s="4">
        <v>203</v>
      </c>
      <c r="F307" s="4">
        <f>ROUND(Source!Q295,O307)</f>
        <v>834347.4</v>
      </c>
      <c r="G307" s="4" t="s">
        <v>117</v>
      </c>
      <c r="H307" s="4" t="s">
        <v>118</v>
      </c>
      <c r="I307" s="4"/>
      <c r="J307" s="4"/>
      <c r="K307" s="4">
        <v>203</v>
      </c>
      <c r="L307" s="4">
        <v>11</v>
      </c>
      <c r="M307" s="4">
        <v>3</v>
      </c>
      <c r="N307" s="4" t="s">
        <v>6</v>
      </c>
      <c r="O307" s="4">
        <v>2</v>
      </c>
      <c r="P307" s="4"/>
    </row>
    <row r="308" spans="1:16" ht="12.75">
      <c r="A308" s="4">
        <v>50</v>
      </c>
      <c r="B308" s="4">
        <v>0</v>
      </c>
      <c r="C308" s="4">
        <v>0</v>
      </c>
      <c r="D308" s="4">
        <v>1</v>
      </c>
      <c r="E308" s="4">
        <v>204</v>
      </c>
      <c r="F308" s="4">
        <f>ROUND(Source!R295,O308)</f>
        <v>328033.81</v>
      </c>
      <c r="G308" s="4" t="s">
        <v>119</v>
      </c>
      <c r="H308" s="4" t="s">
        <v>120</v>
      </c>
      <c r="I308" s="4"/>
      <c r="J308" s="4"/>
      <c r="K308" s="4">
        <v>204</v>
      </c>
      <c r="L308" s="4">
        <v>12</v>
      </c>
      <c r="M308" s="4">
        <v>3</v>
      </c>
      <c r="N308" s="4" t="s">
        <v>6</v>
      </c>
      <c r="O308" s="4">
        <v>2</v>
      </c>
      <c r="P308" s="4"/>
    </row>
    <row r="309" spans="1:16" ht="12.75">
      <c r="A309" s="4">
        <v>50</v>
      </c>
      <c r="B309" s="4">
        <v>0</v>
      </c>
      <c r="C309" s="4">
        <v>0</v>
      </c>
      <c r="D309" s="4">
        <v>1</v>
      </c>
      <c r="E309" s="4">
        <v>205</v>
      </c>
      <c r="F309" s="4">
        <f>ROUND(Source!S295,O309)</f>
        <v>1022447.88</v>
      </c>
      <c r="G309" s="4" t="s">
        <v>121</v>
      </c>
      <c r="H309" s="4" t="s">
        <v>122</v>
      </c>
      <c r="I309" s="4"/>
      <c r="J309" s="4"/>
      <c r="K309" s="4">
        <v>205</v>
      </c>
      <c r="L309" s="4">
        <v>13</v>
      </c>
      <c r="M309" s="4">
        <v>3</v>
      </c>
      <c r="N309" s="4" t="s">
        <v>6</v>
      </c>
      <c r="O309" s="4">
        <v>2</v>
      </c>
      <c r="P309" s="4"/>
    </row>
    <row r="310" spans="1:16" ht="12.75">
      <c r="A310" s="4">
        <v>50</v>
      </c>
      <c r="B310" s="4">
        <v>0</v>
      </c>
      <c r="C310" s="4">
        <v>0</v>
      </c>
      <c r="D310" s="4">
        <v>1</v>
      </c>
      <c r="E310" s="4">
        <v>214</v>
      </c>
      <c r="F310" s="4">
        <f>ROUND(Source!AS295,O310)</f>
        <v>5630425.78</v>
      </c>
      <c r="G310" s="4" t="s">
        <v>123</v>
      </c>
      <c r="H310" s="4" t="s">
        <v>124</v>
      </c>
      <c r="I310" s="4"/>
      <c r="J310" s="4"/>
      <c r="K310" s="4">
        <v>214</v>
      </c>
      <c r="L310" s="4">
        <v>14</v>
      </c>
      <c r="M310" s="4">
        <v>3</v>
      </c>
      <c r="N310" s="4" t="s">
        <v>6</v>
      </c>
      <c r="O310" s="4">
        <v>2</v>
      </c>
      <c r="P310" s="4"/>
    </row>
    <row r="311" spans="1:16" ht="12.75">
      <c r="A311" s="4">
        <v>50</v>
      </c>
      <c r="B311" s="4">
        <v>0</v>
      </c>
      <c r="C311" s="4">
        <v>0</v>
      </c>
      <c r="D311" s="4">
        <v>1</v>
      </c>
      <c r="E311" s="4">
        <v>215</v>
      </c>
      <c r="F311" s="4">
        <f>ROUND(Source!AT295,O311)</f>
        <v>5905832.62</v>
      </c>
      <c r="G311" s="4" t="s">
        <v>125</v>
      </c>
      <c r="H311" s="4" t="s">
        <v>126</v>
      </c>
      <c r="I311" s="4"/>
      <c r="J311" s="4"/>
      <c r="K311" s="4">
        <v>215</v>
      </c>
      <c r="L311" s="4">
        <v>15</v>
      </c>
      <c r="M311" s="4">
        <v>3</v>
      </c>
      <c r="N311" s="4" t="s">
        <v>6</v>
      </c>
      <c r="O311" s="4">
        <v>2</v>
      </c>
      <c r="P311" s="4"/>
    </row>
    <row r="312" spans="1:16" ht="12.75">
      <c r="A312" s="4">
        <v>50</v>
      </c>
      <c r="B312" s="4">
        <v>0</v>
      </c>
      <c r="C312" s="4">
        <v>0</v>
      </c>
      <c r="D312" s="4">
        <v>1</v>
      </c>
      <c r="E312" s="4">
        <v>217</v>
      </c>
      <c r="F312" s="4">
        <f>ROUND(Source!AU295,O312)</f>
        <v>0</v>
      </c>
      <c r="G312" s="4" t="s">
        <v>127</v>
      </c>
      <c r="H312" s="4" t="s">
        <v>128</v>
      </c>
      <c r="I312" s="4"/>
      <c r="J312" s="4"/>
      <c r="K312" s="4">
        <v>217</v>
      </c>
      <c r="L312" s="4">
        <v>16</v>
      </c>
      <c r="M312" s="4">
        <v>3</v>
      </c>
      <c r="N312" s="4" t="s">
        <v>6</v>
      </c>
      <c r="O312" s="4">
        <v>2</v>
      </c>
      <c r="P312" s="4"/>
    </row>
    <row r="313" spans="1:16" ht="12.75">
      <c r="A313" s="4">
        <v>50</v>
      </c>
      <c r="B313" s="4">
        <v>0</v>
      </c>
      <c r="C313" s="4">
        <v>0</v>
      </c>
      <c r="D313" s="4">
        <v>1</v>
      </c>
      <c r="E313" s="4">
        <v>206</v>
      </c>
      <c r="F313" s="4">
        <f>ROUND(Source!T295,O313)</f>
        <v>0</v>
      </c>
      <c r="G313" s="4" t="s">
        <v>129</v>
      </c>
      <c r="H313" s="4" t="s">
        <v>130</v>
      </c>
      <c r="I313" s="4"/>
      <c r="J313" s="4"/>
      <c r="K313" s="4">
        <v>206</v>
      </c>
      <c r="L313" s="4">
        <v>17</v>
      </c>
      <c r="M313" s="4">
        <v>3</v>
      </c>
      <c r="N313" s="4" t="s">
        <v>6</v>
      </c>
      <c r="O313" s="4">
        <v>2</v>
      </c>
      <c r="P313" s="4"/>
    </row>
    <row r="314" spans="1:16" ht="12.75">
      <c r="A314" s="4">
        <v>50</v>
      </c>
      <c r="B314" s="4">
        <v>0</v>
      </c>
      <c r="C314" s="4">
        <v>0</v>
      </c>
      <c r="D314" s="4">
        <v>1</v>
      </c>
      <c r="E314" s="4">
        <v>207</v>
      </c>
      <c r="F314" s="4">
        <f>Source!U295</f>
        <v>4059.090408455999</v>
      </c>
      <c r="G314" s="4" t="s">
        <v>131</v>
      </c>
      <c r="H314" s="4" t="s">
        <v>132</v>
      </c>
      <c r="I314" s="4"/>
      <c r="J314" s="4"/>
      <c r="K314" s="4">
        <v>207</v>
      </c>
      <c r="L314" s="4">
        <v>18</v>
      </c>
      <c r="M314" s="4">
        <v>3</v>
      </c>
      <c r="N314" s="4" t="s">
        <v>6</v>
      </c>
      <c r="O314" s="4">
        <v>-1</v>
      </c>
      <c r="P314" s="4"/>
    </row>
    <row r="315" spans="1:16" ht="12.75">
      <c r="A315" s="4">
        <v>50</v>
      </c>
      <c r="B315" s="4">
        <v>0</v>
      </c>
      <c r="C315" s="4">
        <v>0</v>
      </c>
      <c r="D315" s="4">
        <v>1</v>
      </c>
      <c r="E315" s="4">
        <v>208</v>
      </c>
      <c r="F315" s="4">
        <f>Source!V295</f>
        <v>0</v>
      </c>
      <c r="G315" s="4" t="s">
        <v>133</v>
      </c>
      <c r="H315" s="4" t="s">
        <v>134</v>
      </c>
      <c r="I315" s="4"/>
      <c r="J315" s="4"/>
      <c r="K315" s="4">
        <v>208</v>
      </c>
      <c r="L315" s="4">
        <v>19</v>
      </c>
      <c r="M315" s="4">
        <v>3</v>
      </c>
      <c r="N315" s="4" t="s">
        <v>6</v>
      </c>
      <c r="O315" s="4">
        <v>-1</v>
      </c>
      <c r="P315" s="4"/>
    </row>
    <row r="316" spans="1:16" ht="12.75">
      <c r="A316" s="4">
        <v>50</v>
      </c>
      <c r="B316" s="4">
        <v>0</v>
      </c>
      <c r="C316" s="4">
        <v>0</v>
      </c>
      <c r="D316" s="4">
        <v>1</v>
      </c>
      <c r="E316" s="4">
        <v>209</v>
      </c>
      <c r="F316" s="4">
        <f>ROUND(Source!W295,O316)</f>
        <v>0</v>
      </c>
      <c r="G316" s="4" t="s">
        <v>135</v>
      </c>
      <c r="H316" s="4" t="s">
        <v>136</v>
      </c>
      <c r="I316" s="4"/>
      <c r="J316" s="4"/>
      <c r="K316" s="4">
        <v>209</v>
      </c>
      <c r="L316" s="4">
        <v>20</v>
      </c>
      <c r="M316" s="4">
        <v>3</v>
      </c>
      <c r="N316" s="4" t="s">
        <v>6</v>
      </c>
      <c r="O316" s="4">
        <v>2</v>
      </c>
      <c r="P316" s="4"/>
    </row>
    <row r="317" spans="1:16" ht="12.75">
      <c r="A317" s="4">
        <v>50</v>
      </c>
      <c r="B317" s="4">
        <v>0</v>
      </c>
      <c r="C317" s="4">
        <v>0</v>
      </c>
      <c r="D317" s="4">
        <v>1</v>
      </c>
      <c r="E317" s="4">
        <v>210</v>
      </c>
      <c r="F317" s="4">
        <f>ROUND(Source!X295,O317)</f>
        <v>919794.01</v>
      </c>
      <c r="G317" s="4" t="s">
        <v>137</v>
      </c>
      <c r="H317" s="4" t="s">
        <v>138</v>
      </c>
      <c r="I317" s="4"/>
      <c r="J317" s="4"/>
      <c r="K317" s="4">
        <v>210</v>
      </c>
      <c r="L317" s="4">
        <v>21</v>
      </c>
      <c r="M317" s="4">
        <v>3</v>
      </c>
      <c r="N317" s="4" t="s">
        <v>6</v>
      </c>
      <c r="O317" s="4">
        <v>2</v>
      </c>
      <c r="P317" s="4"/>
    </row>
    <row r="318" spans="1:16" ht="12.75">
      <c r="A318" s="4">
        <v>50</v>
      </c>
      <c r="B318" s="4">
        <v>0</v>
      </c>
      <c r="C318" s="4">
        <v>0</v>
      </c>
      <c r="D318" s="4">
        <v>1</v>
      </c>
      <c r="E318" s="4">
        <v>211</v>
      </c>
      <c r="F318" s="4">
        <f>ROUND(Source!Y295,O318)</f>
        <v>439488.95</v>
      </c>
      <c r="G318" s="4" t="s">
        <v>139</v>
      </c>
      <c r="H318" s="4" t="s">
        <v>140</v>
      </c>
      <c r="I318" s="4"/>
      <c r="J318" s="4"/>
      <c r="K318" s="4">
        <v>211</v>
      </c>
      <c r="L318" s="4">
        <v>22</v>
      </c>
      <c r="M318" s="4">
        <v>3</v>
      </c>
      <c r="N318" s="4" t="s">
        <v>6</v>
      </c>
      <c r="O318" s="4">
        <v>2</v>
      </c>
      <c r="P318" s="4"/>
    </row>
    <row r="319" spans="1:16" ht="12.75">
      <c r="A319" s="4">
        <v>50</v>
      </c>
      <c r="B319" s="4">
        <v>0</v>
      </c>
      <c r="C319" s="4">
        <v>0</v>
      </c>
      <c r="D319" s="4">
        <v>1</v>
      </c>
      <c r="E319" s="4">
        <v>224</v>
      </c>
      <c r="F319" s="4">
        <f>ROUND(Source!AR295,O319)</f>
        <v>11536258.4</v>
      </c>
      <c r="G319" s="4" t="s">
        <v>141</v>
      </c>
      <c r="H319" s="4" t="s">
        <v>142</v>
      </c>
      <c r="I319" s="4"/>
      <c r="J319" s="4"/>
      <c r="K319" s="4">
        <v>224</v>
      </c>
      <c r="L319" s="4">
        <v>23</v>
      </c>
      <c r="M319" s="4">
        <v>3</v>
      </c>
      <c r="N319" s="4" t="s">
        <v>6</v>
      </c>
      <c r="O319" s="4">
        <v>2</v>
      </c>
      <c r="P319" s="4"/>
    </row>
    <row r="321" spans="1:88" ht="12.75">
      <c r="A321" s="1">
        <v>5</v>
      </c>
      <c r="B321" s="1">
        <v>1</v>
      </c>
      <c r="C321" s="1"/>
      <c r="D321" s="1">
        <f>ROW(A336)</f>
        <v>336</v>
      </c>
      <c r="E321" s="1"/>
      <c r="F321" s="1" t="s">
        <v>19</v>
      </c>
      <c r="G321" s="1" t="s">
        <v>381</v>
      </c>
      <c r="H321" s="1" t="s">
        <v>6</v>
      </c>
      <c r="I321" s="1">
        <v>0</v>
      </c>
      <c r="J321" s="1"/>
      <c r="K321" s="1">
        <v>-1</v>
      </c>
      <c r="L321" s="1"/>
      <c r="M321" s="1"/>
      <c r="N321" s="1"/>
      <c r="O321" s="1"/>
      <c r="P321" s="1"/>
      <c r="Q321" s="1"/>
      <c r="R321" s="1"/>
      <c r="S321" s="1"/>
      <c r="T321" s="1"/>
      <c r="U321" s="1" t="s">
        <v>6</v>
      </c>
      <c r="V321" s="1">
        <v>0</v>
      </c>
      <c r="W321" s="1"/>
      <c r="X321" s="1"/>
      <c r="Y321" s="1"/>
      <c r="Z321" s="1"/>
      <c r="AA321" s="1"/>
      <c r="AB321" s="1" t="s">
        <v>6</v>
      </c>
      <c r="AC321" s="1" t="s">
        <v>6</v>
      </c>
      <c r="AD321" s="1" t="s">
        <v>6</v>
      </c>
      <c r="AE321" s="1" t="s">
        <v>6</v>
      </c>
      <c r="AF321" s="1" t="s">
        <v>6</v>
      </c>
      <c r="AG321" s="1" t="s">
        <v>6</v>
      </c>
      <c r="AH321" s="1"/>
      <c r="AI321" s="1"/>
      <c r="AJ321" s="1"/>
      <c r="AK321" s="1"/>
      <c r="AL321" s="1"/>
      <c r="AM321" s="1"/>
      <c r="AN321" s="1"/>
      <c r="AO321" s="1"/>
      <c r="AP321" s="1" t="s">
        <v>6</v>
      </c>
      <c r="AQ321" s="1" t="s">
        <v>6</v>
      </c>
      <c r="AR321" s="1" t="s">
        <v>6</v>
      </c>
      <c r="AS321" s="1"/>
      <c r="AT321" s="1"/>
      <c r="AU321" s="1"/>
      <c r="AV321" s="1"/>
      <c r="AW321" s="1"/>
      <c r="AX321" s="1"/>
      <c r="AY321" s="1"/>
      <c r="AZ321" s="1" t="s">
        <v>6</v>
      </c>
      <c r="BA321" s="1"/>
      <c r="BB321" s="1" t="s">
        <v>6</v>
      </c>
      <c r="BC321" s="1" t="s">
        <v>6</v>
      </c>
      <c r="BD321" s="1" t="s">
        <v>6</v>
      </c>
      <c r="BE321" s="1" t="s">
        <v>6</v>
      </c>
      <c r="BF321" s="1" t="s">
        <v>6</v>
      </c>
      <c r="BG321" s="1" t="s">
        <v>6</v>
      </c>
      <c r="BH321" s="1" t="s">
        <v>6</v>
      </c>
      <c r="BI321" s="1" t="s">
        <v>6</v>
      </c>
      <c r="BJ321" s="1" t="s">
        <v>6</v>
      </c>
      <c r="BK321" s="1" t="s">
        <v>6</v>
      </c>
      <c r="BL321" s="1" t="s">
        <v>6</v>
      </c>
      <c r="BM321" s="1" t="s">
        <v>6</v>
      </c>
      <c r="BN321" s="1" t="s">
        <v>6</v>
      </c>
      <c r="BO321" s="1" t="s">
        <v>6</v>
      </c>
      <c r="BP321" s="1" t="s">
        <v>6</v>
      </c>
      <c r="BQ321" s="1"/>
      <c r="BR321" s="1"/>
      <c r="BS321" s="1"/>
      <c r="BT321" s="1"/>
      <c r="BU321" s="1"/>
      <c r="BV321" s="1"/>
      <c r="BW321" s="1"/>
      <c r="BX321" s="1">
        <v>0</v>
      </c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>
        <v>0</v>
      </c>
    </row>
    <row r="323" spans="1:118" ht="12.75">
      <c r="A323" s="2">
        <v>52</v>
      </c>
      <c r="B323" s="2">
        <f aca="true" t="shared" si="272" ref="B323:G323">B336</f>
        <v>1</v>
      </c>
      <c r="C323" s="2">
        <f t="shared" si="272"/>
        <v>5</v>
      </c>
      <c r="D323" s="2">
        <f t="shared" si="272"/>
        <v>321</v>
      </c>
      <c r="E323" s="2">
        <f t="shared" si="272"/>
        <v>0</v>
      </c>
      <c r="F323" s="2" t="str">
        <f t="shared" si="272"/>
        <v>Новый подраздел</v>
      </c>
      <c r="G323" s="2" t="str">
        <f t="shared" si="272"/>
        <v>КЛ-20 кВ по кабельному коллектору  ПК0 - ПК73</v>
      </c>
      <c r="H323" s="2"/>
      <c r="I323" s="2"/>
      <c r="J323" s="2"/>
      <c r="K323" s="2"/>
      <c r="L323" s="2"/>
      <c r="M323" s="2"/>
      <c r="N323" s="2"/>
      <c r="O323" s="2">
        <f aca="true" t="shared" si="273" ref="O323:AT323">O336</f>
        <v>4443772.33</v>
      </c>
      <c r="P323" s="2">
        <f t="shared" si="273"/>
        <v>3577097.96</v>
      </c>
      <c r="Q323" s="2">
        <f t="shared" si="273"/>
        <v>390766.62</v>
      </c>
      <c r="R323" s="2">
        <f t="shared" si="273"/>
        <v>153623.26</v>
      </c>
      <c r="S323" s="2">
        <f t="shared" si="273"/>
        <v>475907.75</v>
      </c>
      <c r="T323" s="2">
        <f t="shared" si="273"/>
        <v>0</v>
      </c>
      <c r="U323" s="2">
        <f t="shared" si="273"/>
        <v>1888.1640129599996</v>
      </c>
      <c r="V323" s="2">
        <f t="shared" si="273"/>
        <v>0</v>
      </c>
      <c r="W323" s="2">
        <f t="shared" si="273"/>
        <v>0</v>
      </c>
      <c r="X323" s="2">
        <f t="shared" si="273"/>
        <v>428316.98</v>
      </c>
      <c r="Y323" s="2">
        <f t="shared" si="273"/>
        <v>204640.34</v>
      </c>
      <c r="Z323" s="2">
        <f t="shared" si="273"/>
        <v>0</v>
      </c>
      <c r="AA323" s="2">
        <f t="shared" si="273"/>
        <v>0</v>
      </c>
      <c r="AB323" s="2">
        <f t="shared" si="273"/>
        <v>4443772.33</v>
      </c>
      <c r="AC323" s="2">
        <f t="shared" si="273"/>
        <v>3577097.96</v>
      </c>
      <c r="AD323" s="2">
        <f t="shared" si="273"/>
        <v>390766.62</v>
      </c>
      <c r="AE323" s="2">
        <f t="shared" si="273"/>
        <v>153623.26</v>
      </c>
      <c r="AF323" s="2">
        <f t="shared" si="273"/>
        <v>475907.75</v>
      </c>
      <c r="AG323" s="2">
        <f t="shared" si="273"/>
        <v>0</v>
      </c>
      <c r="AH323" s="2">
        <f t="shared" si="273"/>
        <v>1888.1640129599996</v>
      </c>
      <c r="AI323" s="2">
        <f t="shared" si="273"/>
        <v>0</v>
      </c>
      <c r="AJ323" s="2">
        <f t="shared" si="273"/>
        <v>0</v>
      </c>
      <c r="AK323" s="2">
        <f t="shared" si="273"/>
        <v>428316.98</v>
      </c>
      <c r="AL323" s="2">
        <f t="shared" si="273"/>
        <v>204640.34</v>
      </c>
      <c r="AM323" s="2">
        <f t="shared" si="273"/>
        <v>0</v>
      </c>
      <c r="AN323" s="2">
        <f t="shared" si="273"/>
        <v>0</v>
      </c>
      <c r="AO323" s="2">
        <f t="shared" si="273"/>
        <v>0</v>
      </c>
      <c r="AP323" s="2">
        <f t="shared" si="273"/>
        <v>0</v>
      </c>
      <c r="AQ323" s="2">
        <f t="shared" si="273"/>
        <v>0</v>
      </c>
      <c r="AR323" s="2">
        <f t="shared" si="273"/>
        <v>5333280.49</v>
      </c>
      <c r="AS323" s="2">
        <f t="shared" si="273"/>
        <v>2624701.51</v>
      </c>
      <c r="AT323" s="2">
        <f t="shared" si="273"/>
        <v>2708578.98</v>
      </c>
      <c r="AU323" s="2">
        <f aca="true" t="shared" si="274" ref="AU323:BZ323">AU336</f>
        <v>0</v>
      </c>
      <c r="AV323" s="2">
        <f t="shared" si="274"/>
        <v>3577097.96</v>
      </c>
      <c r="AW323" s="2">
        <f t="shared" si="274"/>
        <v>3577097.96</v>
      </c>
      <c r="AX323" s="2">
        <f t="shared" si="274"/>
        <v>0</v>
      </c>
      <c r="AY323" s="2">
        <f t="shared" si="274"/>
        <v>3577097.96</v>
      </c>
      <c r="AZ323" s="2">
        <f t="shared" si="274"/>
        <v>0</v>
      </c>
      <c r="BA323" s="2">
        <f t="shared" si="274"/>
        <v>0</v>
      </c>
      <c r="BB323" s="2">
        <f t="shared" si="274"/>
        <v>0</v>
      </c>
      <c r="BC323" s="2">
        <f t="shared" si="274"/>
        <v>0</v>
      </c>
      <c r="BD323" s="2">
        <f t="shared" si="274"/>
        <v>0</v>
      </c>
      <c r="BE323" s="2">
        <f t="shared" si="274"/>
        <v>5333280.49</v>
      </c>
      <c r="BF323" s="2">
        <f t="shared" si="274"/>
        <v>2624701.51</v>
      </c>
      <c r="BG323" s="2">
        <f t="shared" si="274"/>
        <v>2708578.98</v>
      </c>
      <c r="BH323" s="2">
        <f t="shared" si="274"/>
        <v>0</v>
      </c>
      <c r="BI323" s="2">
        <f t="shared" si="274"/>
        <v>3577097.96</v>
      </c>
      <c r="BJ323" s="2">
        <f t="shared" si="274"/>
        <v>3577097.96</v>
      </c>
      <c r="BK323" s="2">
        <f t="shared" si="274"/>
        <v>0</v>
      </c>
      <c r="BL323" s="2">
        <f t="shared" si="274"/>
        <v>3577097.96</v>
      </c>
      <c r="BM323" s="2">
        <f t="shared" si="274"/>
        <v>0</v>
      </c>
      <c r="BN323" s="2">
        <f t="shared" si="274"/>
        <v>0</v>
      </c>
      <c r="BO323" s="3">
        <f t="shared" si="274"/>
        <v>0</v>
      </c>
      <c r="BP323" s="3">
        <f t="shared" si="274"/>
        <v>0</v>
      </c>
      <c r="BQ323" s="3">
        <f t="shared" si="274"/>
        <v>0</v>
      </c>
      <c r="BR323" s="3">
        <f t="shared" si="274"/>
        <v>0</v>
      </c>
      <c r="BS323" s="3">
        <f t="shared" si="274"/>
        <v>0</v>
      </c>
      <c r="BT323" s="3">
        <f t="shared" si="274"/>
        <v>0</v>
      </c>
      <c r="BU323" s="3">
        <f t="shared" si="274"/>
        <v>0</v>
      </c>
      <c r="BV323" s="3">
        <f t="shared" si="274"/>
        <v>0</v>
      </c>
      <c r="BW323" s="3">
        <f t="shared" si="274"/>
        <v>0</v>
      </c>
      <c r="BX323" s="3">
        <f t="shared" si="274"/>
        <v>0</v>
      </c>
      <c r="BY323" s="3">
        <f t="shared" si="274"/>
        <v>0</v>
      </c>
      <c r="BZ323" s="3">
        <f t="shared" si="274"/>
        <v>0</v>
      </c>
      <c r="CA323" s="3">
        <f aca="true" t="shared" si="275" ref="CA323:DF323">CA336</f>
        <v>0</v>
      </c>
      <c r="CB323" s="3">
        <f t="shared" si="275"/>
        <v>0</v>
      </c>
      <c r="CC323" s="3">
        <f t="shared" si="275"/>
        <v>0</v>
      </c>
      <c r="CD323" s="3">
        <f t="shared" si="275"/>
        <v>0</v>
      </c>
      <c r="CE323" s="3">
        <f t="shared" si="275"/>
        <v>0</v>
      </c>
      <c r="CF323" s="3">
        <f t="shared" si="275"/>
        <v>0</v>
      </c>
      <c r="CG323" s="3">
        <f t="shared" si="275"/>
        <v>0</v>
      </c>
      <c r="CH323" s="3">
        <f t="shared" si="275"/>
        <v>0</v>
      </c>
      <c r="CI323" s="3">
        <f t="shared" si="275"/>
        <v>0</v>
      </c>
      <c r="CJ323" s="3">
        <f t="shared" si="275"/>
        <v>0</v>
      </c>
      <c r="CK323" s="3">
        <f t="shared" si="275"/>
        <v>0</v>
      </c>
      <c r="CL323" s="3">
        <f t="shared" si="275"/>
        <v>0</v>
      </c>
      <c r="CM323" s="3">
        <f t="shared" si="275"/>
        <v>0</v>
      </c>
      <c r="CN323" s="3">
        <f t="shared" si="275"/>
        <v>0</v>
      </c>
      <c r="CO323" s="3">
        <f t="shared" si="275"/>
        <v>0</v>
      </c>
      <c r="CP323" s="3">
        <f t="shared" si="275"/>
        <v>0</v>
      </c>
      <c r="CQ323" s="3">
        <f t="shared" si="275"/>
        <v>0</v>
      </c>
      <c r="CR323" s="3">
        <f t="shared" si="275"/>
        <v>0</v>
      </c>
      <c r="CS323" s="3">
        <f t="shared" si="275"/>
        <v>0</v>
      </c>
      <c r="CT323" s="3">
        <f t="shared" si="275"/>
        <v>0</v>
      </c>
      <c r="CU323" s="3">
        <f t="shared" si="275"/>
        <v>0</v>
      </c>
      <c r="CV323" s="3">
        <f t="shared" si="275"/>
        <v>0</v>
      </c>
      <c r="CW323" s="3">
        <f t="shared" si="275"/>
        <v>0</v>
      </c>
      <c r="CX323" s="3">
        <f t="shared" si="275"/>
        <v>0</v>
      </c>
      <c r="CY323" s="3">
        <f t="shared" si="275"/>
        <v>0</v>
      </c>
      <c r="CZ323" s="3">
        <f t="shared" si="275"/>
        <v>0</v>
      </c>
      <c r="DA323" s="3">
        <f t="shared" si="275"/>
        <v>0</v>
      </c>
      <c r="DB323" s="3">
        <f t="shared" si="275"/>
        <v>0</v>
      </c>
      <c r="DC323" s="3">
        <f t="shared" si="275"/>
        <v>0</v>
      </c>
      <c r="DD323" s="3">
        <f t="shared" si="275"/>
        <v>0</v>
      </c>
      <c r="DE323" s="3">
        <f t="shared" si="275"/>
        <v>0</v>
      </c>
      <c r="DF323" s="3">
        <f t="shared" si="275"/>
        <v>0</v>
      </c>
      <c r="DG323" s="3">
        <f aca="true" t="shared" si="276" ref="DG323:DN323">DG336</f>
        <v>0</v>
      </c>
      <c r="DH323" s="3">
        <f t="shared" si="276"/>
        <v>0</v>
      </c>
      <c r="DI323" s="3">
        <f t="shared" si="276"/>
        <v>0</v>
      </c>
      <c r="DJ323" s="3">
        <f t="shared" si="276"/>
        <v>0</v>
      </c>
      <c r="DK323" s="3">
        <f t="shared" si="276"/>
        <v>0</v>
      </c>
      <c r="DL323" s="3">
        <f t="shared" si="276"/>
        <v>0</v>
      </c>
      <c r="DM323" s="3">
        <f t="shared" si="276"/>
        <v>0</v>
      </c>
      <c r="DN323" s="3">
        <f t="shared" si="276"/>
        <v>0</v>
      </c>
    </row>
    <row r="325" spans="1:206" ht="12.75">
      <c r="A325">
        <v>17</v>
      </c>
      <c r="B325">
        <v>1</v>
      </c>
      <c r="C325">
        <f>ROW(SmtRes!A141)</f>
        <v>141</v>
      </c>
      <c r="E325" t="s">
        <v>382</v>
      </c>
      <c r="F325" t="s">
        <v>339</v>
      </c>
      <c r="G325" t="s">
        <v>340</v>
      </c>
      <c r="H325" t="s">
        <v>341</v>
      </c>
      <c r="I325">
        <f>ROUND(745/100,9)</f>
        <v>7.45</v>
      </c>
      <c r="J325">
        <v>0</v>
      </c>
      <c r="O325">
        <f aca="true" t="shared" si="277" ref="O325:O334">ROUND(CP325+GX325,2)</f>
        <v>136036.17</v>
      </c>
      <c r="P325">
        <f aca="true" t="shared" si="278" ref="P325:P334">ROUND(CQ325*I325,2)</f>
        <v>5100.32</v>
      </c>
      <c r="Q325">
        <f aca="true" t="shared" si="279" ref="Q325:Q334">ROUND(CR325*I325,2)</f>
        <v>61504.81</v>
      </c>
      <c r="R325">
        <f aca="true" t="shared" si="280" ref="R325:R334">ROUND(CS325*I325,2)</f>
        <v>13266.1</v>
      </c>
      <c r="S325">
        <f aca="true" t="shared" si="281" ref="S325:S334">ROUND(CT325*I325,2)</f>
        <v>69431.04</v>
      </c>
      <c r="T325">
        <f aca="true" t="shared" si="282" ref="T325:T334">ROUND(CU325*I325,2)</f>
        <v>0</v>
      </c>
      <c r="U325">
        <f aca="true" t="shared" si="283" ref="U325:U334">CV325*I325</f>
        <v>276.03354089999993</v>
      </c>
      <c r="V325">
        <f aca="true" t="shared" si="284" ref="V325:V334">CW325*I325</f>
        <v>0</v>
      </c>
      <c r="W325">
        <f aca="true" t="shared" si="285" ref="W325:W334">ROUND(CX325*I325,2)</f>
        <v>0</v>
      </c>
      <c r="X325">
        <f aca="true" t="shared" si="286" ref="X325:X334">ROUND(CY325,2)</f>
        <v>62487.94</v>
      </c>
      <c r="Y325">
        <f aca="true" t="shared" si="287" ref="Y325:Y334">ROUND(CZ325,2)</f>
        <v>29855.35</v>
      </c>
      <c r="AA325">
        <v>34388368</v>
      </c>
      <c r="AB325">
        <f aca="true" t="shared" si="288" ref="AB325:AB334">ROUND((AC325+AD325+AF325)+GT325,6)</f>
        <v>1732.3486</v>
      </c>
      <c r="AC325">
        <f aca="true" t="shared" si="289" ref="AC325:AC334">ROUND((ES325),6)</f>
        <v>130.9</v>
      </c>
      <c r="AD325">
        <f>ROUND((((((ET325*1.2)*1.15))-(((EU325*1.2)*1.15)))+AE325),6)</f>
        <v>1181.1696</v>
      </c>
      <c r="AE325">
        <f>ROUND((((EU325*1.2)*1.15)),6)</f>
        <v>80.3022</v>
      </c>
      <c r="AF325">
        <f>ROUND((((EV325*1.2)*1.15)),6)</f>
        <v>420.279</v>
      </c>
      <c r="AG325">
        <f aca="true" t="shared" si="290" ref="AG325:AG334">ROUND((AP325),6)</f>
        <v>0</v>
      </c>
      <c r="AH325">
        <f>(((EW325*1.2)*1.15))</f>
        <v>34.08599999999999</v>
      </c>
      <c r="AI325">
        <f>(((EX325*1.2)*1.15))</f>
        <v>0</v>
      </c>
      <c r="AJ325">
        <f aca="true" t="shared" si="291" ref="AJ325:AJ334">ROUND((AS325),6)</f>
        <v>0</v>
      </c>
      <c r="AK325">
        <v>1291.37</v>
      </c>
      <c r="AL325">
        <v>130.9</v>
      </c>
      <c r="AM325">
        <v>855.92</v>
      </c>
      <c r="AN325">
        <v>58.19</v>
      </c>
      <c r="AO325">
        <v>304.55</v>
      </c>
      <c r="AP325">
        <v>0</v>
      </c>
      <c r="AQ325">
        <v>24.7</v>
      </c>
      <c r="AR325">
        <v>0</v>
      </c>
      <c r="AS325">
        <v>0</v>
      </c>
      <c r="AT325">
        <v>90</v>
      </c>
      <c r="AU325">
        <v>43</v>
      </c>
      <c r="AV325">
        <v>1.087</v>
      </c>
      <c r="AW325">
        <v>1</v>
      </c>
      <c r="AZ325">
        <v>1</v>
      </c>
      <c r="BA325">
        <v>20.4</v>
      </c>
      <c r="BB325">
        <v>6.43</v>
      </c>
      <c r="BC325">
        <v>5.23</v>
      </c>
      <c r="BH325">
        <v>0</v>
      </c>
      <c r="BI325">
        <v>2</v>
      </c>
      <c r="BJ325" t="s">
        <v>342</v>
      </c>
      <c r="BM325">
        <v>319</v>
      </c>
      <c r="BN325">
        <v>0</v>
      </c>
      <c r="BO325" t="s">
        <v>339</v>
      </c>
      <c r="BP325">
        <v>1</v>
      </c>
      <c r="BQ325">
        <v>40</v>
      </c>
      <c r="BR325">
        <v>0</v>
      </c>
      <c r="BS325">
        <v>20.4</v>
      </c>
      <c r="BT325">
        <v>1</v>
      </c>
      <c r="BU325">
        <v>1</v>
      </c>
      <c r="BV325">
        <v>1</v>
      </c>
      <c r="BW325">
        <v>1</v>
      </c>
      <c r="BX325">
        <v>1</v>
      </c>
      <c r="BZ325">
        <v>90</v>
      </c>
      <c r="CA325">
        <v>43</v>
      </c>
      <c r="CF325">
        <v>0</v>
      </c>
      <c r="CG325">
        <v>0</v>
      </c>
      <c r="CM325">
        <v>0</v>
      </c>
      <c r="CN325" t="s">
        <v>522</v>
      </c>
      <c r="CO325">
        <v>0</v>
      </c>
      <c r="CP325">
        <f aca="true" t="shared" si="292" ref="CP325:CP334">(P325+Q325+S325)</f>
        <v>136036.16999999998</v>
      </c>
      <c r="CQ325">
        <f aca="true" t="shared" si="293" ref="CQ325:CQ334">(AC325*BC325*AW325)</f>
        <v>684.6070000000001</v>
      </c>
      <c r="CR325">
        <f>((((((ET325*1.2)*1.15))*BB325-(((EU325*1.2)*1.15))*BS325)+AE325*BS325)*AV325)</f>
        <v>8255.678613936</v>
      </c>
      <c r="CS325">
        <f aca="true" t="shared" si="294" ref="CS325:CS334">(AE325*BS325*AV325)</f>
        <v>1780.6852245599998</v>
      </c>
      <c r="CT325">
        <f aca="true" t="shared" si="295" ref="CT325:CT334">(AF325*BA325*AV325)</f>
        <v>9319.6027692</v>
      </c>
      <c r="CU325">
        <f aca="true" t="shared" si="296" ref="CU325:CU334">AG325</f>
        <v>0</v>
      </c>
      <c r="CV325">
        <f aca="true" t="shared" si="297" ref="CV325:CV334">(AH325*AV325)</f>
        <v>37.05148199999999</v>
      </c>
      <c r="CW325">
        <f aca="true" t="shared" si="298" ref="CW325:CW334">AI325</f>
        <v>0</v>
      </c>
      <c r="CX325">
        <f aca="true" t="shared" si="299" ref="CX325:CX334">AJ325</f>
        <v>0</v>
      </c>
      <c r="CY325">
        <f aca="true" t="shared" si="300" ref="CY325:CY334">S325*(BZ325/100)</f>
        <v>62487.935999999994</v>
      </c>
      <c r="CZ325">
        <f aca="true" t="shared" si="301" ref="CZ325:CZ334">S325*(CA325/100)</f>
        <v>29855.347199999997</v>
      </c>
      <c r="DE325" t="s">
        <v>343</v>
      </c>
      <c r="DF325" t="s">
        <v>343</v>
      </c>
      <c r="DG325" t="s">
        <v>343</v>
      </c>
      <c r="DI325" t="s">
        <v>343</v>
      </c>
      <c r="DJ325" t="s">
        <v>343</v>
      </c>
      <c r="DN325">
        <v>112</v>
      </c>
      <c r="DO325">
        <v>70</v>
      </c>
      <c r="DP325">
        <v>1.087</v>
      </c>
      <c r="DQ325">
        <v>1</v>
      </c>
      <c r="DU325">
        <v>1010</v>
      </c>
      <c r="DV325" t="s">
        <v>341</v>
      </c>
      <c r="DW325" t="s">
        <v>341</v>
      </c>
      <c r="DX325">
        <v>100</v>
      </c>
      <c r="EE325">
        <v>34317734</v>
      </c>
      <c r="EF325">
        <v>40</v>
      </c>
      <c r="EG325" t="s">
        <v>49</v>
      </c>
      <c r="EH325">
        <v>0</v>
      </c>
      <c r="EJ325">
        <v>2</v>
      </c>
      <c r="EK325">
        <v>319</v>
      </c>
      <c r="EL325" t="s">
        <v>344</v>
      </c>
      <c r="EM325" t="s">
        <v>345</v>
      </c>
      <c r="EO325" t="s">
        <v>346</v>
      </c>
      <c r="EQ325">
        <v>0</v>
      </c>
      <c r="ER325">
        <v>1291.37</v>
      </c>
      <c r="ES325">
        <v>130.9</v>
      </c>
      <c r="ET325">
        <v>855.92</v>
      </c>
      <c r="EU325">
        <v>58.19</v>
      </c>
      <c r="EV325">
        <v>304.55</v>
      </c>
      <c r="EW325">
        <v>24.7</v>
      </c>
      <c r="EX325">
        <v>0</v>
      </c>
      <c r="EY325">
        <v>0</v>
      </c>
      <c r="FQ325">
        <v>0</v>
      </c>
      <c r="FR325">
        <f aca="true" t="shared" si="302" ref="FR325:FR334">ROUND(IF(AND(BH325=3,BI325=3),P325,0),2)</f>
        <v>0</v>
      </c>
      <c r="FS325">
        <v>0</v>
      </c>
      <c r="FX325">
        <v>112</v>
      </c>
      <c r="FY325">
        <v>70</v>
      </c>
      <c r="GD325">
        <v>0</v>
      </c>
      <c r="GF325">
        <v>1364407681</v>
      </c>
      <c r="GG325">
        <v>2</v>
      </c>
      <c r="GH325">
        <v>1</v>
      </c>
      <c r="GI325">
        <v>2</v>
      </c>
      <c r="GJ325">
        <v>0</v>
      </c>
      <c r="GK325">
        <f>ROUND(R325*(R12)/100,2)</f>
        <v>22154.39</v>
      </c>
      <c r="GL325">
        <f aca="true" t="shared" si="303" ref="GL325:GL334">ROUND(IF(AND(BH325=3,BI325=3,FS325&lt;&gt;0),P325,0),2)</f>
        <v>0</v>
      </c>
      <c r="GM325">
        <f aca="true" t="shared" si="304" ref="GM325:GM334">O325+X325+Y325+GK325</f>
        <v>250533.85000000003</v>
      </c>
      <c r="GN325">
        <f aca="true" t="shared" si="305" ref="GN325:GN334">ROUND(IF(OR(BI325=0,BI325=1),O325+X325+Y325+GK325-GX325,0),2)</f>
        <v>0</v>
      </c>
      <c r="GO325">
        <f aca="true" t="shared" si="306" ref="GO325:GO334">ROUND(IF(BI325=2,O325+X325+Y325+GK325-GX325,0),2)</f>
        <v>250533.85</v>
      </c>
      <c r="GP325">
        <f aca="true" t="shared" si="307" ref="GP325:GP334">ROUND(IF(BI325=4,O325+X325+Y325+GK325,GX325),2)</f>
        <v>0</v>
      </c>
      <c r="GT325">
        <v>0</v>
      </c>
      <c r="GU325">
        <v>1</v>
      </c>
      <c r="GV325">
        <v>0</v>
      </c>
      <c r="GW325">
        <v>0</v>
      </c>
      <c r="GX325">
        <f aca="true" t="shared" si="308" ref="GX325:GX334">ROUND(GT325*GU325*I325,2)</f>
        <v>0</v>
      </c>
    </row>
    <row r="326" spans="1:206" ht="12.75">
      <c r="A326">
        <v>18</v>
      </c>
      <c r="B326">
        <v>1</v>
      </c>
      <c r="C326">
        <v>141</v>
      </c>
      <c r="E326" t="s">
        <v>383</v>
      </c>
      <c r="F326" t="s">
        <v>62</v>
      </c>
      <c r="G326" t="s">
        <v>348</v>
      </c>
      <c r="H326" t="s">
        <v>165</v>
      </c>
      <c r="I326">
        <f>I325*J326</f>
        <v>745</v>
      </c>
      <c r="J326">
        <v>100</v>
      </c>
      <c r="O326">
        <f t="shared" si="277"/>
        <v>135113.2</v>
      </c>
      <c r="P326">
        <f t="shared" si="278"/>
        <v>135113.2</v>
      </c>
      <c r="Q326">
        <f t="shared" si="279"/>
        <v>0</v>
      </c>
      <c r="R326">
        <f t="shared" si="280"/>
        <v>0</v>
      </c>
      <c r="S326">
        <f t="shared" si="281"/>
        <v>0</v>
      </c>
      <c r="T326">
        <f t="shared" si="282"/>
        <v>0</v>
      </c>
      <c r="U326">
        <f t="shared" si="283"/>
        <v>0</v>
      </c>
      <c r="V326">
        <f t="shared" si="284"/>
        <v>0</v>
      </c>
      <c r="W326">
        <f t="shared" si="285"/>
        <v>0</v>
      </c>
      <c r="X326">
        <f t="shared" si="286"/>
        <v>0</v>
      </c>
      <c r="Y326">
        <f t="shared" si="287"/>
        <v>0</v>
      </c>
      <c r="AA326">
        <v>34388368</v>
      </c>
      <c r="AB326">
        <f t="shared" si="288"/>
        <v>181.36</v>
      </c>
      <c r="AC326">
        <f t="shared" si="289"/>
        <v>181.36</v>
      </c>
      <c r="AD326">
        <f>ROUND((((ET326)-(EU326))+AE326),6)</f>
        <v>0</v>
      </c>
      <c r="AE326">
        <f>ROUND((EU326),6)</f>
        <v>0</v>
      </c>
      <c r="AF326">
        <f>ROUND((EV326),6)</f>
        <v>0</v>
      </c>
      <c r="AG326">
        <f t="shared" si="290"/>
        <v>0</v>
      </c>
      <c r="AH326">
        <f>(EW326)</f>
        <v>0</v>
      </c>
      <c r="AI326">
        <f>(EX326)</f>
        <v>0</v>
      </c>
      <c r="AJ326">
        <f t="shared" si="291"/>
        <v>0</v>
      </c>
      <c r="AK326">
        <v>181.36</v>
      </c>
      <c r="AL326">
        <v>181.36</v>
      </c>
      <c r="AM326">
        <v>0</v>
      </c>
      <c r="AN326">
        <v>0</v>
      </c>
      <c r="AO326">
        <v>0</v>
      </c>
      <c r="AP326">
        <v>0</v>
      </c>
      <c r="AQ326">
        <v>0</v>
      </c>
      <c r="AR326">
        <v>0</v>
      </c>
      <c r="AS326">
        <v>0</v>
      </c>
      <c r="AT326">
        <v>0</v>
      </c>
      <c r="AU326">
        <v>0</v>
      </c>
      <c r="AV326">
        <v>1</v>
      </c>
      <c r="AW326">
        <v>1</v>
      </c>
      <c r="AZ326">
        <v>1</v>
      </c>
      <c r="BA326">
        <v>1</v>
      </c>
      <c r="BB326">
        <v>1</v>
      </c>
      <c r="BC326">
        <v>1</v>
      </c>
      <c r="BH326">
        <v>3</v>
      </c>
      <c r="BI326">
        <v>2</v>
      </c>
      <c r="BM326">
        <v>0</v>
      </c>
      <c r="BN326">
        <v>0</v>
      </c>
      <c r="BP326">
        <v>0</v>
      </c>
      <c r="BQ326">
        <v>40</v>
      </c>
      <c r="BR326">
        <v>0</v>
      </c>
      <c r="BS326">
        <v>1</v>
      </c>
      <c r="BT326">
        <v>1</v>
      </c>
      <c r="BU326">
        <v>1</v>
      </c>
      <c r="BV326">
        <v>1</v>
      </c>
      <c r="BW326">
        <v>1</v>
      </c>
      <c r="BX326">
        <v>1</v>
      </c>
      <c r="BZ326">
        <v>0</v>
      </c>
      <c r="CA326">
        <v>0</v>
      </c>
      <c r="CF326">
        <v>0</v>
      </c>
      <c r="CG326">
        <v>0</v>
      </c>
      <c r="CM326">
        <v>0</v>
      </c>
      <c r="CO326">
        <v>0</v>
      </c>
      <c r="CP326">
        <f t="shared" si="292"/>
        <v>135113.2</v>
      </c>
      <c r="CQ326">
        <f t="shared" si="293"/>
        <v>181.36</v>
      </c>
      <c r="CR326">
        <f>((((ET326)*BB326-(EU326)*BS326)+AE326*BS326)*AV326)</f>
        <v>0</v>
      </c>
      <c r="CS326">
        <f t="shared" si="294"/>
        <v>0</v>
      </c>
      <c r="CT326">
        <f t="shared" si="295"/>
        <v>0</v>
      </c>
      <c r="CU326">
        <f t="shared" si="296"/>
        <v>0</v>
      </c>
      <c r="CV326">
        <f t="shared" si="297"/>
        <v>0</v>
      </c>
      <c r="CW326">
        <f t="shared" si="298"/>
        <v>0</v>
      </c>
      <c r="CX326">
        <f t="shared" si="299"/>
        <v>0</v>
      </c>
      <c r="CY326">
        <f t="shared" si="300"/>
        <v>0</v>
      </c>
      <c r="CZ326">
        <f t="shared" si="301"/>
        <v>0</v>
      </c>
      <c r="DN326">
        <v>0</v>
      </c>
      <c r="DO326">
        <v>0</v>
      </c>
      <c r="DP326">
        <v>1</v>
      </c>
      <c r="DQ326">
        <v>1</v>
      </c>
      <c r="DU326">
        <v>1013</v>
      </c>
      <c r="DV326" t="s">
        <v>165</v>
      </c>
      <c r="DW326" t="s">
        <v>165</v>
      </c>
      <c r="DX326">
        <v>1</v>
      </c>
      <c r="EE326">
        <v>34317415</v>
      </c>
      <c r="EF326">
        <v>0</v>
      </c>
      <c r="EH326">
        <v>0</v>
      </c>
      <c r="EJ326">
        <v>4</v>
      </c>
      <c r="EK326">
        <v>0</v>
      </c>
      <c r="EL326" t="s">
        <v>349</v>
      </c>
      <c r="EM326" t="s">
        <v>350</v>
      </c>
      <c r="EQ326">
        <v>0</v>
      </c>
      <c r="ER326">
        <v>181.36</v>
      </c>
      <c r="ES326">
        <v>181.36</v>
      </c>
      <c r="ET326">
        <v>0</v>
      </c>
      <c r="EU326">
        <v>0</v>
      </c>
      <c r="EV326">
        <v>0</v>
      </c>
      <c r="EW326">
        <v>0</v>
      </c>
      <c r="EX326">
        <v>0</v>
      </c>
      <c r="EZ326">
        <v>5</v>
      </c>
      <c r="FC326">
        <v>1</v>
      </c>
      <c r="FD326">
        <v>18</v>
      </c>
      <c r="FF326">
        <v>214</v>
      </c>
      <c r="FQ326">
        <v>0</v>
      </c>
      <c r="FR326">
        <f t="shared" si="302"/>
        <v>0</v>
      </c>
      <c r="FS326">
        <v>0</v>
      </c>
      <c r="FX326">
        <v>0</v>
      </c>
      <c r="FY326">
        <v>0</v>
      </c>
      <c r="GA326" t="s">
        <v>351</v>
      </c>
      <c r="GD326">
        <v>0</v>
      </c>
      <c r="GF326">
        <v>-353308058</v>
      </c>
      <c r="GG326">
        <v>2</v>
      </c>
      <c r="GH326">
        <v>3</v>
      </c>
      <c r="GI326">
        <v>-2</v>
      </c>
      <c r="GJ326">
        <v>0</v>
      </c>
      <c r="GK326">
        <f>ROUND(R326*(R12)/100,2)</f>
        <v>0</v>
      </c>
      <c r="GL326">
        <f t="shared" si="303"/>
        <v>0</v>
      </c>
      <c r="GM326">
        <f t="shared" si="304"/>
        <v>135113.2</v>
      </c>
      <c r="GN326">
        <f t="shared" si="305"/>
        <v>0</v>
      </c>
      <c r="GO326">
        <f t="shared" si="306"/>
        <v>135113.2</v>
      </c>
      <c r="GP326">
        <f t="shared" si="307"/>
        <v>0</v>
      </c>
      <c r="GT326">
        <v>0</v>
      </c>
      <c r="GU326">
        <v>1</v>
      </c>
      <c r="GV326">
        <v>0</v>
      </c>
      <c r="GW326">
        <v>0</v>
      </c>
      <c r="GX326">
        <f t="shared" si="308"/>
        <v>0</v>
      </c>
    </row>
    <row r="327" spans="1:206" ht="12.75">
      <c r="A327">
        <v>17</v>
      </c>
      <c r="B327">
        <v>1</v>
      </c>
      <c r="C327">
        <f>ROW(SmtRes!A142)</f>
        <v>142</v>
      </c>
      <c r="E327" t="s">
        <v>384</v>
      </c>
      <c r="F327" t="s">
        <v>353</v>
      </c>
      <c r="G327" t="s">
        <v>354</v>
      </c>
      <c r="H327" t="s">
        <v>341</v>
      </c>
      <c r="I327">
        <f>ROUND(745/100,9)</f>
        <v>7.45</v>
      </c>
      <c r="J327">
        <v>0</v>
      </c>
      <c r="O327">
        <f t="shared" si="277"/>
        <v>8466.89</v>
      </c>
      <c r="P327">
        <f t="shared" si="278"/>
        <v>152.74</v>
      </c>
      <c r="Q327">
        <f t="shared" si="279"/>
        <v>2523.48</v>
      </c>
      <c r="R327">
        <f t="shared" si="280"/>
        <v>1345.08</v>
      </c>
      <c r="S327">
        <f t="shared" si="281"/>
        <v>5790.67</v>
      </c>
      <c r="T327">
        <f t="shared" si="282"/>
        <v>0</v>
      </c>
      <c r="U327">
        <f t="shared" si="283"/>
        <v>23.021420819999996</v>
      </c>
      <c r="V327">
        <f t="shared" si="284"/>
        <v>0</v>
      </c>
      <c r="W327">
        <f t="shared" si="285"/>
        <v>0</v>
      </c>
      <c r="X327">
        <f t="shared" si="286"/>
        <v>5211.6</v>
      </c>
      <c r="Y327">
        <f t="shared" si="287"/>
        <v>2489.99</v>
      </c>
      <c r="AA327">
        <v>34388368</v>
      </c>
      <c r="AB327">
        <f t="shared" si="288"/>
        <v>74.024</v>
      </c>
      <c r="AC327">
        <f t="shared" si="289"/>
        <v>3.92</v>
      </c>
      <c r="AD327">
        <f>ROUND((((((ET327*1.2)*1.15))-(((EU327*1.2)*1.15)))+AE327),6)</f>
        <v>35.052</v>
      </c>
      <c r="AE327">
        <f>ROUND((((EU327*1.2)*1.15)),6)</f>
        <v>8.142</v>
      </c>
      <c r="AF327">
        <f>ROUND((((EV327*1.2)*1.15)),6)</f>
        <v>35.052</v>
      </c>
      <c r="AG327">
        <f t="shared" si="290"/>
        <v>0</v>
      </c>
      <c r="AH327">
        <f>(((EW327*1.2)*1.15))</f>
        <v>2.8427999999999995</v>
      </c>
      <c r="AI327">
        <f>(((EX327*1.2)*1.15))</f>
        <v>0</v>
      </c>
      <c r="AJ327">
        <f t="shared" si="291"/>
        <v>0</v>
      </c>
      <c r="AK327">
        <v>54.72</v>
      </c>
      <c r="AL327">
        <v>3.92</v>
      </c>
      <c r="AM327">
        <v>25.4</v>
      </c>
      <c r="AN327">
        <v>5.9</v>
      </c>
      <c r="AO327">
        <v>25.4</v>
      </c>
      <c r="AP327">
        <v>0</v>
      </c>
      <c r="AQ327">
        <v>2.06</v>
      </c>
      <c r="AR327">
        <v>0</v>
      </c>
      <c r="AS327">
        <v>0</v>
      </c>
      <c r="AT327">
        <v>90</v>
      </c>
      <c r="AU327">
        <v>43</v>
      </c>
      <c r="AV327">
        <v>1.087</v>
      </c>
      <c r="AW327">
        <v>1</v>
      </c>
      <c r="AZ327">
        <v>1</v>
      </c>
      <c r="BA327">
        <v>20.4</v>
      </c>
      <c r="BB327">
        <v>8.89</v>
      </c>
      <c r="BC327">
        <v>5.23</v>
      </c>
      <c r="BH327">
        <v>0</v>
      </c>
      <c r="BI327">
        <v>2</v>
      </c>
      <c r="BJ327" t="s">
        <v>355</v>
      </c>
      <c r="BM327">
        <v>319</v>
      </c>
      <c r="BN327">
        <v>0</v>
      </c>
      <c r="BO327" t="s">
        <v>353</v>
      </c>
      <c r="BP327">
        <v>1</v>
      </c>
      <c r="BQ327">
        <v>40</v>
      </c>
      <c r="BR327">
        <v>0</v>
      </c>
      <c r="BS327">
        <v>20.4</v>
      </c>
      <c r="BT327">
        <v>1</v>
      </c>
      <c r="BU327">
        <v>1</v>
      </c>
      <c r="BV327">
        <v>1</v>
      </c>
      <c r="BW327">
        <v>1</v>
      </c>
      <c r="BX327">
        <v>1</v>
      </c>
      <c r="BZ327">
        <v>90</v>
      </c>
      <c r="CA327">
        <v>43</v>
      </c>
      <c r="CF327">
        <v>0</v>
      </c>
      <c r="CG327">
        <v>0</v>
      </c>
      <c r="CM327">
        <v>0</v>
      </c>
      <c r="CN327" t="s">
        <v>523</v>
      </c>
      <c r="CO327">
        <v>0</v>
      </c>
      <c r="CP327">
        <f t="shared" si="292"/>
        <v>8466.89</v>
      </c>
      <c r="CQ327">
        <f t="shared" si="293"/>
        <v>20.5016</v>
      </c>
      <c r="CR327">
        <f>((((((ET327*1.2)*1.15))*BB327-(((EU327*1.2)*1.15))*BS327)+AE327*BS327)*AV327)</f>
        <v>338.7225483599999</v>
      </c>
      <c r="CS327">
        <f t="shared" si="294"/>
        <v>180.54722159999997</v>
      </c>
      <c r="CT327">
        <f t="shared" si="295"/>
        <v>777.2710896</v>
      </c>
      <c r="CU327">
        <f t="shared" si="296"/>
        <v>0</v>
      </c>
      <c r="CV327">
        <f t="shared" si="297"/>
        <v>3.090123599999999</v>
      </c>
      <c r="CW327">
        <f t="shared" si="298"/>
        <v>0</v>
      </c>
      <c r="CX327">
        <f t="shared" si="299"/>
        <v>0</v>
      </c>
      <c r="CY327">
        <f t="shared" si="300"/>
        <v>5211.603</v>
      </c>
      <c r="CZ327">
        <f t="shared" si="301"/>
        <v>2489.9881</v>
      </c>
      <c r="DE327" t="s">
        <v>343</v>
      </c>
      <c r="DF327" t="s">
        <v>343</v>
      </c>
      <c r="DG327" t="s">
        <v>343</v>
      </c>
      <c r="DI327" t="s">
        <v>343</v>
      </c>
      <c r="DJ327" t="s">
        <v>343</v>
      </c>
      <c r="DN327">
        <v>112</v>
      </c>
      <c r="DO327">
        <v>70</v>
      </c>
      <c r="DP327">
        <v>1.087</v>
      </c>
      <c r="DQ327">
        <v>1</v>
      </c>
      <c r="DU327">
        <v>1010</v>
      </c>
      <c r="DV327" t="s">
        <v>341</v>
      </c>
      <c r="DW327" t="s">
        <v>341</v>
      </c>
      <c r="DX327">
        <v>100</v>
      </c>
      <c r="EE327">
        <v>34317734</v>
      </c>
      <c r="EF327">
        <v>40</v>
      </c>
      <c r="EG327" t="s">
        <v>49</v>
      </c>
      <c r="EH327">
        <v>0</v>
      </c>
      <c r="EJ327">
        <v>2</v>
      </c>
      <c r="EK327">
        <v>319</v>
      </c>
      <c r="EL327" t="s">
        <v>344</v>
      </c>
      <c r="EM327" t="s">
        <v>345</v>
      </c>
      <c r="EO327" t="s">
        <v>356</v>
      </c>
      <c r="EQ327">
        <v>0</v>
      </c>
      <c r="ER327">
        <v>54.72</v>
      </c>
      <c r="ES327">
        <v>3.92</v>
      </c>
      <c r="ET327">
        <v>25.4</v>
      </c>
      <c r="EU327">
        <v>5.9</v>
      </c>
      <c r="EV327">
        <v>25.4</v>
      </c>
      <c r="EW327">
        <v>2.06</v>
      </c>
      <c r="EX327">
        <v>0</v>
      </c>
      <c r="EY327">
        <v>0</v>
      </c>
      <c r="FQ327">
        <v>0</v>
      </c>
      <c r="FR327">
        <f t="shared" si="302"/>
        <v>0</v>
      </c>
      <c r="FS327">
        <v>0</v>
      </c>
      <c r="FX327">
        <v>112</v>
      </c>
      <c r="FY327">
        <v>70</v>
      </c>
      <c r="GD327">
        <v>0</v>
      </c>
      <c r="GF327">
        <v>1634875659</v>
      </c>
      <c r="GG327">
        <v>2</v>
      </c>
      <c r="GH327">
        <v>1</v>
      </c>
      <c r="GI327">
        <v>2</v>
      </c>
      <c r="GJ327">
        <v>0</v>
      </c>
      <c r="GK327">
        <f>ROUND(R327*(R12)/100,2)</f>
        <v>2246.28</v>
      </c>
      <c r="GL327">
        <f t="shared" si="303"/>
        <v>0</v>
      </c>
      <c r="GM327">
        <f t="shared" si="304"/>
        <v>18414.76</v>
      </c>
      <c r="GN327">
        <f t="shared" si="305"/>
        <v>0</v>
      </c>
      <c r="GO327">
        <f t="shared" si="306"/>
        <v>18414.76</v>
      </c>
      <c r="GP327">
        <f t="shared" si="307"/>
        <v>0</v>
      </c>
      <c r="GT327">
        <v>0</v>
      </c>
      <c r="GU327">
        <v>1</v>
      </c>
      <c r="GV327">
        <v>0</v>
      </c>
      <c r="GW327">
        <v>0</v>
      </c>
      <c r="GX327">
        <f t="shared" si="308"/>
        <v>0</v>
      </c>
    </row>
    <row r="328" spans="1:206" ht="12.75">
      <c r="A328">
        <v>18</v>
      </c>
      <c r="B328">
        <v>1</v>
      </c>
      <c r="C328">
        <v>142</v>
      </c>
      <c r="E328" t="s">
        <v>385</v>
      </c>
      <c r="F328" t="s">
        <v>62</v>
      </c>
      <c r="G328" t="s">
        <v>358</v>
      </c>
      <c r="H328" t="s">
        <v>165</v>
      </c>
      <c r="I328">
        <f>I327*J328</f>
        <v>745</v>
      </c>
      <c r="J328">
        <v>100</v>
      </c>
      <c r="O328">
        <f t="shared" si="277"/>
        <v>97229.95</v>
      </c>
      <c r="P328">
        <f t="shared" si="278"/>
        <v>97229.95</v>
      </c>
      <c r="Q328">
        <f t="shared" si="279"/>
        <v>0</v>
      </c>
      <c r="R328">
        <f t="shared" si="280"/>
        <v>0</v>
      </c>
      <c r="S328">
        <f t="shared" si="281"/>
        <v>0</v>
      </c>
      <c r="T328">
        <f t="shared" si="282"/>
        <v>0</v>
      </c>
      <c r="U328">
        <f t="shared" si="283"/>
        <v>0</v>
      </c>
      <c r="V328">
        <f t="shared" si="284"/>
        <v>0</v>
      </c>
      <c r="W328">
        <f t="shared" si="285"/>
        <v>0</v>
      </c>
      <c r="X328">
        <f t="shared" si="286"/>
        <v>0</v>
      </c>
      <c r="Y328">
        <f t="shared" si="287"/>
        <v>0</v>
      </c>
      <c r="AA328">
        <v>34388368</v>
      </c>
      <c r="AB328">
        <f t="shared" si="288"/>
        <v>130.51</v>
      </c>
      <c r="AC328">
        <f t="shared" si="289"/>
        <v>130.51</v>
      </c>
      <c r="AD328">
        <f>ROUND((((ET328)-(EU328))+AE328),6)</f>
        <v>0</v>
      </c>
      <c r="AE328">
        <f>ROUND((EU328),6)</f>
        <v>0</v>
      </c>
      <c r="AF328">
        <f>ROUND((EV328),6)</f>
        <v>0</v>
      </c>
      <c r="AG328">
        <f t="shared" si="290"/>
        <v>0</v>
      </c>
      <c r="AH328">
        <f>(EW328)</f>
        <v>0</v>
      </c>
      <c r="AI328">
        <f>(EX328)</f>
        <v>0</v>
      </c>
      <c r="AJ328">
        <f t="shared" si="291"/>
        <v>0</v>
      </c>
      <c r="AK328">
        <v>130.51</v>
      </c>
      <c r="AL328">
        <v>130.51</v>
      </c>
      <c r="AM328">
        <v>0</v>
      </c>
      <c r="AN328">
        <v>0</v>
      </c>
      <c r="AO328">
        <v>0</v>
      </c>
      <c r="AP328">
        <v>0</v>
      </c>
      <c r="AQ328">
        <v>0</v>
      </c>
      <c r="AR328">
        <v>0</v>
      </c>
      <c r="AS328">
        <v>0</v>
      </c>
      <c r="AT328">
        <v>0</v>
      </c>
      <c r="AU328">
        <v>0</v>
      </c>
      <c r="AV328">
        <v>1</v>
      </c>
      <c r="AW328">
        <v>1</v>
      </c>
      <c r="AZ328">
        <v>1</v>
      </c>
      <c r="BA328">
        <v>1</v>
      </c>
      <c r="BB328">
        <v>1</v>
      </c>
      <c r="BC328">
        <v>1</v>
      </c>
      <c r="BH328">
        <v>3</v>
      </c>
      <c r="BI328">
        <v>2</v>
      </c>
      <c r="BM328">
        <v>319</v>
      </c>
      <c r="BN328">
        <v>0</v>
      </c>
      <c r="BP328">
        <v>0</v>
      </c>
      <c r="BQ328">
        <v>40</v>
      </c>
      <c r="BR328">
        <v>0</v>
      </c>
      <c r="BS328">
        <v>1</v>
      </c>
      <c r="BT328">
        <v>1</v>
      </c>
      <c r="BU328">
        <v>1</v>
      </c>
      <c r="BV328">
        <v>1</v>
      </c>
      <c r="BW328">
        <v>1</v>
      </c>
      <c r="BX328">
        <v>1</v>
      </c>
      <c r="BZ328">
        <v>0</v>
      </c>
      <c r="CA328">
        <v>0</v>
      </c>
      <c r="CF328">
        <v>0</v>
      </c>
      <c r="CG328">
        <v>0</v>
      </c>
      <c r="CM328">
        <v>0</v>
      </c>
      <c r="CO328">
        <v>0</v>
      </c>
      <c r="CP328">
        <f t="shared" si="292"/>
        <v>97229.95</v>
      </c>
      <c r="CQ328">
        <f t="shared" si="293"/>
        <v>130.51</v>
      </c>
      <c r="CR328">
        <f>((((ET328)*BB328-(EU328)*BS328)+AE328*BS328)*AV328)</f>
        <v>0</v>
      </c>
      <c r="CS328">
        <f t="shared" si="294"/>
        <v>0</v>
      </c>
      <c r="CT328">
        <f t="shared" si="295"/>
        <v>0</v>
      </c>
      <c r="CU328">
        <f t="shared" si="296"/>
        <v>0</v>
      </c>
      <c r="CV328">
        <f t="shared" si="297"/>
        <v>0</v>
      </c>
      <c r="CW328">
        <f t="shared" si="298"/>
        <v>0</v>
      </c>
      <c r="CX328">
        <f t="shared" si="299"/>
        <v>0</v>
      </c>
      <c r="CY328">
        <f t="shared" si="300"/>
        <v>0</v>
      </c>
      <c r="CZ328">
        <f t="shared" si="301"/>
        <v>0</v>
      </c>
      <c r="DN328">
        <v>112</v>
      </c>
      <c r="DO328">
        <v>70</v>
      </c>
      <c r="DP328">
        <v>1.087</v>
      </c>
      <c r="DQ328">
        <v>1</v>
      </c>
      <c r="DU328">
        <v>1013</v>
      </c>
      <c r="DV328" t="s">
        <v>165</v>
      </c>
      <c r="DW328" t="s">
        <v>165</v>
      </c>
      <c r="DX328">
        <v>1</v>
      </c>
      <c r="EE328">
        <v>34317734</v>
      </c>
      <c r="EF328">
        <v>40</v>
      </c>
      <c r="EG328" t="s">
        <v>49</v>
      </c>
      <c r="EH328">
        <v>0</v>
      </c>
      <c r="EJ328">
        <v>2</v>
      </c>
      <c r="EK328">
        <v>319</v>
      </c>
      <c r="EL328" t="s">
        <v>344</v>
      </c>
      <c r="EM328" t="s">
        <v>345</v>
      </c>
      <c r="EQ328">
        <v>0</v>
      </c>
      <c r="ER328">
        <v>130.51</v>
      </c>
      <c r="ES328">
        <v>130.51</v>
      </c>
      <c r="ET328">
        <v>0</v>
      </c>
      <c r="EU328">
        <v>0</v>
      </c>
      <c r="EV328">
        <v>0</v>
      </c>
      <c r="EW328">
        <v>0</v>
      </c>
      <c r="EX328">
        <v>0</v>
      </c>
      <c r="EZ328">
        <v>5</v>
      </c>
      <c r="FC328">
        <v>1</v>
      </c>
      <c r="FD328">
        <v>18</v>
      </c>
      <c r="FF328">
        <v>154</v>
      </c>
      <c r="FQ328">
        <v>0</v>
      </c>
      <c r="FR328">
        <f t="shared" si="302"/>
        <v>0</v>
      </c>
      <c r="FS328">
        <v>0</v>
      </c>
      <c r="FX328">
        <v>112</v>
      </c>
      <c r="FY328">
        <v>70</v>
      </c>
      <c r="GA328" t="s">
        <v>386</v>
      </c>
      <c r="GD328">
        <v>0</v>
      </c>
      <c r="GF328">
        <v>391796212</v>
      </c>
      <c r="GG328">
        <v>2</v>
      </c>
      <c r="GH328">
        <v>3</v>
      </c>
      <c r="GI328">
        <v>-2</v>
      </c>
      <c r="GJ328">
        <v>0</v>
      </c>
      <c r="GK328">
        <f>ROUND(R328*(R12)/100,2)</f>
        <v>0</v>
      </c>
      <c r="GL328">
        <f t="shared" si="303"/>
        <v>0</v>
      </c>
      <c r="GM328">
        <f t="shared" si="304"/>
        <v>97229.95</v>
      </c>
      <c r="GN328">
        <f t="shared" si="305"/>
        <v>0</v>
      </c>
      <c r="GO328">
        <f t="shared" si="306"/>
        <v>97229.95</v>
      </c>
      <c r="GP328">
        <f t="shared" si="307"/>
        <v>0</v>
      </c>
      <c r="GT328">
        <v>0</v>
      </c>
      <c r="GU328">
        <v>1</v>
      </c>
      <c r="GV328">
        <v>0</v>
      </c>
      <c r="GW328">
        <v>0</v>
      </c>
      <c r="GX328">
        <f t="shared" si="308"/>
        <v>0</v>
      </c>
    </row>
    <row r="329" spans="1:206" ht="12.75">
      <c r="A329">
        <v>17</v>
      </c>
      <c r="B329">
        <v>1</v>
      </c>
      <c r="E329" t="s">
        <v>387</v>
      </c>
      <c r="F329" t="s">
        <v>153</v>
      </c>
      <c r="G329" t="s">
        <v>154</v>
      </c>
      <c r="H329" t="s">
        <v>47</v>
      </c>
      <c r="I329">
        <f>ROUND(2235/100,9)</f>
        <v>22.35</v>
      </c>
      <c r="J329">
        <v>0</v>
      </c>
      <c r="O329">
        <f t="shared" si="277"/>
        <v>672239.55</v>
      </c>
      <c r="P329">
        <f t="shared" si="278"/>
        <v>5130.16</v>
      </c>
      <c r="Q329">
        <f t="shared" si="279"/>
        <v>316132.54</v>
      </c>
      <c r="R329">
        <f t="shared" si="280"/>
        <v>133706.75</v>
      </c>
      <c r="S329">
        <f t="shared" si="281"/>
        <v>350976.85</v>
      </c>
      <c r="T329">
        <f t="shared" si="282"/>
        <v>0</v>
      </c>
      <c r="U329">
        <f t="shared" si="283"/>
        <v>1395.3619943999997</v>
      </c>
      <c r="V329">
        <f t="shared" si="284"/>
        <v>0</v>
      </c>
      <c r="W329">
        <f t="shared" si="285"/>
        <v>0</v>
      </c>
      <c r="X329">
        <f t="shared" si="286"/>
        <v>315879.17</v>
      </c>
      <c r="Y329">
        <f t="shared" si="287"/>
        <v>150920.05</v>
      </c>
      <c r="AA329">
        <v>34388368</v>
      </c>
      <c r="AB329">
        <f t="shared" si="288"/>
        <v>2450.77</v>
      </c>
      <c r="AC329">
        <f t="shared" si="289"/>
        <v>40.6</v>
      </c>
      <c r="AD329">
        <f>ROUND((((((ET329*1.15)*1.2))-(((EU329*1.15)*1.2)))+AE329),6)</f>
        <v>1688.7198</v>
      </c>
      <c r="AE329">
        <f>ROUND((((EU329*1.15)*1.2)),6)</f>
        <v>274.8408</v>
      </c>
      <c r="AF329">
        <f>ROUND((((EV329*1.15)*1.2)),6)</f>
        <v>721.4502</v>
      </c>
      <c r="AG329">
        <f t="shared" si="290"/>
        <v>0</v>
      </c>
      <c r="AH329">
        <f>(((EW329*1.15)*1.2))</f>
        <v>58.51199999999999</v>
      </c>
      <c r="AI329">
        <f>(((EX329*1.15)*1.2))</f>
        <v>0</v>
      </c>
      <c r="AJ329">
        <f t="shared" si="291"/>
        <v>0</v>
      </c>
      <c r="AK329">
        <v>1787.1</v>
      </c>
      <c r="AL329">
        <v>40.6</v>
      </c>
      <c r="AM329">
        <v>1223.71</v>
      </c>
      <c r="AN329">
        <v>199.16</v>
      </c>
      <c r="AO329">
        <v>522.79</v>
      </c>
      <c r="AP329">
        <v>0</v>
      </c>
      <c r="AQ329">
        <v>42.4</v>
      </c>
      <c r="AR329">
        <v>0</v>
      </c>
      <c r="AS329">
        <v>0</v>
      </c>
      <c r="AT329">
        <v>90</v>
      </c>
      <c r="AU329">
        <v>43</v>
      </c>
      <c r="AV329">
        <v>1.067</v>
      </c>
      <c r="AW329">
        <v>1.081</v>
      </c>
      <c r="AZ329">
        <v>1</v>
      </c>
      <c r="BA329">
        <v>20.4</v>
      </c>
      <c r="BB329">
        <v>7.85</v>
      </c>
      <c r="BC329">
        <v>5.23</v>
      </c>
      <c r="BH329">
        <v>0</v>
      </c>
      <c r="BI329">
        <v>2</v>
      </c>
      <c r="BJ329" t="s">
        <v>155</v>
      </c>
      <c r="BM329">
        <v>318</v>
      </c>
      <c r="BN329">
        <v>0</v>
      </c>
      <c r="BO329" t="s">
        <v>153</v>
      </c>
      <c r="BP329">
        <v>1</v>
      </c>
      <c r="BQ329">
        <v>40</v>
      </c>
      <c r="BR329">
        <v>0</v>
      </c>
      <c r="BS329">
        <v>20.4</v>
      </c>
      <c r="BT329">
        <v>1</v>
      </c>
      <c r="BU329">
        <v>1</v>
      </c>
      <c r="BV329">
        <v>1</v>
      </c>
      <c r="BW329">
        <v>1</v>
      </c>
      <c r="BX329">
        <v>1</v>
      </c>
      <c r="BZ329">
        <v>90</v>
      </c>
      <c r="CA329">
        <v>43</v>
      </c>
      <c r="CF329">
        <v>0</v>
      </c>
      <c r="CG329">
        <v>0</v>
      </c>
      <c r="CM329">
        <v>0</v>
      </c>
      <c r="CN329" t="s">
        <v>524</v>
      </c>
      <c r="CO329">
        <v>0</v>
      </c>
      <c r="CP329">
        <f t="shared" si="292"/>
        <v>672239.5499999999</v>
      </c>
      <c r="CQ329">
        <f t="shared" si="293"/>
        <v>229.53737800000002</v>
      </c>
      <c r="CR329">
        <f>((((((ET329*1.15)*1.2))*BB329-(((EU329*1.15)*1.2))*BS329)+AE329*BS329)*AV329)</f>
        <v>14144.632608809998</v>
      </c>
      <c r="CS329">
        <f t="shared" si="294"/>
        <v>5982.404725439999</v>
      </c>
      <c r="CT329">
        <f t="shared" si="295"/>
        <v>15703.662213359998</v>
      </c>
      <c r="CU329">
        <f t="shared" si="296"/>
        <v>0</v>
      </c>
      <c r="CV329">
        <f t="shared" si="297"/>
        <v>62.43230399999999</v>
      </c>
      <c r="CW329">
        <f t="shared" si="298"/>
        <v>0</v>
      </c>
      <c r="CX329">
        <f t="shared" si="299"/>
        <v>0</v>
      </c>
      <c r="CY329">
        <f t="shared" si="300"/>
        <v>315879.165</v>
      </c>
      <c r="CZ329">
        <f t="shared" si="301"/>
        <v>150920.04549999998</v>
      </c>
      <c r="DE329" t="s">
        <v>361</v>
      </c>
      <c r="DF329" t="s">
        <v>361</v>
      </c>
      <c r="DG329" t="s">
        <v>361</v>
      </c>
      <c r="DI329" t="s">
        <v>361</v>
      </c>
      <c r="DJ329" t="s">
        <v>361</v>
      </c>
      <c r="DN329">
        <v>112</v>
      </c>
      <c r="DO329">
        <v>70</v>
      </c>
      <c r="DP329">
        <v>1.067</v>
      </c>
      <c r="DQ329">
        <v>1.081</v>
      </c>
      <c r="DU329">
        <v>1003</v>
      </c>
      <c r="DV329" t="s">
        <v>47</v>
      </c>
      <c r="DW329" t="s">
        <v>47</v>
      </c>
      <c r="DX329">
        <v>100</v>
      </c>
      <c r="EE329">
        <v>34317733</v>
      </c>
      <c r="EF329">
        <v>40</v>
      </c>
      <c r="EG329" t="s">
        <v>49</v>
      </c>
      <c r="EH329">
        <v>0</v>
      </c>
      <c r="EJ329">
        <v>2</v>
      </c>
      <c r="EK329">
        <v>318</v>
      </c>
      <c r="EL329" t="s">
        <v>50</v>
      </c>
      <c r="EM329" t="s">
        <v>51</v>
      </c>
      <c r="EO329" t="s">
        <v>362</v>
      </c>
      <c r="EQ329">
        <v>0</v>
      </c>
      <c r="ER329">
        <v>1787.1</v>
      </c>
      <c r="ES329">
        <v>40.6</v>
      </c>
      <c r="ET329">
        <v>1223.71</v>
      </c>
      <c r="EU329">
        <v>199.16</v>
      </c>
      <c r="EV329">
        <v>522.79</v>
      </c>
      <c r="EW329">
        <v>42.4</v>
      </c>
      <c r="EX329">
        <v>0</v>
      </c>
      <c r="EY329">
        <v>0</v>
      </c>
      <c r="FQ329">
        <v>0</v>
      </c>
      <c r="FR329">
        <f t="shared" si="302"/>
        <v>0</v>
      </c>
      <c r="FS329">
        <v>0</v>
      </c>
      <c r="FX329">
        <v>112</v>
      </c>
      <c r="FY329">
        <v>70</v>
      </c>
      <c r="GD329">
        <v>0</v>
      </c>
      <c r="GF329">
        <v>552761603</v>
      </c>
      <c r="GG329">
        <v>2</v>
      </c>
      <c r="GH329">
        <v>1</v>
      </c>
      <c r="GI329">
        <v>2</v>
      </c>
      <c r="GJ329">
        <v>0</v>
      </c>
      <c r="GK329">
        <f>ROUND(R329*(R12)/100,2)</f>
        <v>223290.27</v>
      </c>
      <c r="GL329">
        <f t="shared" si="303"/>
        <v>0</v>
      </c>
      <c r="GM329">
        <f t="shared" si="304"/>
        <v>1362329.04</v>
      </c>
      <c r="GN329">
        <f t="shared" si="305"/>
        <v>0</v>
      </c>
      <c r="GO329">
        <f t="shared" si="306"/>
        <v>1362329.04</v>
      </c>
      <c r="GP329">
        <f t="shared" si="307"/>
        <v>0</v>
      </c>
      <c r="GT329">
        <v>0</v>
      </c>
      <c r="GU329">
        <v>1</v>
      </c>
      <c r="GV329">
        <v>0</v>
      </c>
      <c r="GW329">
        <v>0</v>
      </c>
      <c r="GX329">
        <f t="shared" si="308"/>
        <v>0</v>
      </c>
    </row>
    <row r="330" spans="1:206" ht="12.75">
      <c r="A330">
        <v>17</v>
      </c>
      <c r="B330">
        <v>1</v>
      </c>
      <c r="E330" t="s">
        <v>388</v>
      </c>
      <c r="F330" t="s">
        <v>62</v>
      </c>
      <c r="G330" t="s">
        <v>364</v>
      </c>
      <c r="H330" t="s">
        <v>158</v>
      </c>
      <c r="I330">
        <v>2279</v>
      </c>
      <c r="J330">
        <v>0</v>
      </c>
      <c r="O330">
        <f t="shared" si="277"/>
        <v>2624701.51</v>
      </c>
      <c r="P330">
        <f t="shared" si="278"/>
        <v>2624701.51</v>
      </c>
      <c r="Q330">
        <f t="shared" si="279"/>
        <v>0</v>
      </c>
      <c r="R330">
        <f t="shared" si="280"/>
        <v>0</v>
      </c>
      <c r="S330">
        <f t="shared" si="281"/>
        <v>0</v>
      </c>
      <c r="T330">
        <f t="shared" si="282"/>
        <v>0</v>
      </c>
      <c r="U330">
        <f t="shared" si="283"/>
        <v>0</v>
      </c>
      <c r="V330">
        <f t="shared" si="284"/>
        <v>0</v>
      </c>
      <c r="W330">
        <f t="shared" si="285"/>
        <v>0</v>
      </c>
      <c r="X330">
        <f t="shared" si="286"/>
        <v>0</v>
      </c>
      <c r="Y330">
        <f t="shared" si="287"/>
        <v>0</v>
      </c>
      <c r="AA330">
        <v>34388368</v>
      </c>
      <c r="AB330">
        <f t="shared" si="288"/>
        <v>1151.69</v>
      </c>
      <c r="AC330">
        <f t="shared" si="289"/>
        <v>1151.69</v>
      </c>
      <c r="AD330">
        <f>ROUND((((ET330)-(EU330))+AE330),6)</f>
        <v>0</v>
      </c>
      <c r="AE330">
        <f>ROUND((EU330),6)</f>
        <v>0</v>
      </c>
      <c r="AF330">
        <f>ROUND((EV330),6)</f>
        <v>0</v>
      </c>
      <c r="AG330">
        <f t="shared" si="290"/>
        <v>0</v>
      </c>
      <c r="AH330">
        <f>(EW330)</f>
        <v>0</v>
      </c>
      <c r="AI330">
        <f>(EX330)</f>
        <v>0</v>
      </c>
      <c r="AJ330">
        <f t="shared" si="291"/>
        <v>0</v>
      </c>
      <c r="AK330">
        <v>1151.69</v>
      </c>
      <c r="AL330">
        <v>1151.69</v>
      </c>
      <c r="AM330">
        <v>0</v>
      </c>
      <c r="AN330">
        <v>0</v>
      </c>
      <c r="AO330">
        <v>0</v>
      </c>
      <c r="AP330">
        <v>0</v>
      </c>
      <c r="AQ330">
        <v>0</v>
      </c>
      <c r="AR330">
        <v>0</v>
      </c>
      <c r="AS330">
        <v>0</v>
      </c>
      <c r="AT330">
        <v>0</v>
      </c>
      <c r="AU330">
        <v>0</v>
      </c>
      <c r="AV330">
        <v>1</v>
      </c>
      <c r="AW330">
        <v>1</v>
      </c>
      <c r="AZ330">
        <v>1</v>
      </c>
      <c r="BA330">
        <v>1</v>
      </c>
      <c r="BB330">
        <v>1</v>
      </c>
      <c r="BC330">
        <v>1</v>
      </c>
      <c r="BH330">
        <v>3</v>
      </c>
      <c r="BI330">
        <v>1</v>
      </c>
      <c r="BM330">
        <v>400002</v>
      </c>
      <c r="BN330">
        <v>0</v>
      </c>
      <c r="BP330">
        <v>0</v>
      </c>
      <c r="BQ330">
        <v>202</v>
      </c>
      <c r="BR330">
        <v>0</v>
      </c>
      <c r="BS330">
        <v>1</v>
      </c>
      <c r="BT330">
        <v>1</v>
      </c>
      <c r="BU330">
        <v>1</v>
      </c>
      <c r="BV330">
        <v>1</v>
      </c>
      <c r="BW330">
        <v>1</v>
      </c>
      <c r="BX330">
        <v>1</v>
      </c>
      <c r="BZ330">
        <v>0</v>
      </c>
      <c r="CA330">
        <v>0</v>
      </c>
      <c r="CF330">
        <v>0</v>
      </c>
      <c r="CG330">
        <v>0</v>
      </c>
      <c r="CM330">
        <v>0</v>
      </c>
      <c r="CO330">
        <v>0</v>
      </c>
      <c r="CP330">
        <f t="shared" si="292"/>
        <v>2624701.51</v>
      </c>
      <c r="CQ330">
        <f t="shared" si="293"/>
        <v>1151.69</v>
      </c>
      <c r="CR330">
        <f>((((ET330)*BB330-(EU330)*BS330)+AE330*BS330)*AV330)</f>
        <v>0</v>
      </c>
      <c r="CS330">
        <f t="shared" si="294"/>
        <v>0</v>
      </c>
      <c r="CT330">
        <f t="shared" si="295"/>
        <v>0</v>
      </c>
      <c r="CU330">
        <f t="shared" si="296"/>
        <v>0</v>
      </c>
      <c r="CV330">
        <f t="shared" si="297"/>
        <v>0</v>
      </c>
      <c r="CW330">
        <f t="shared" si="298"/>
        <v>0</v>
      </c>
      <c r="CX330">
        <f t="shared" si="299"/>
        <v>0</v>
      </c>
      <c r="CY330">
        <f t="shared" si="300"/>
        <v>0</v>
      </c>
      <c r="CZ330">
        <f t="shared" si="301"/>
        <v>0</v>
      </c>
      <c r="DN330">
        <v>0</v>
      </c>
      <c r="DO330">
        <v>0</v>
      </c>
      <c r="DP330">
        <v>1</v>
      </c>
      <c r="DQ330">
        <v>1</v>
      </c>
      <c r="DU330">
        <v>1003</v>
      </c>
      <c r="DV330" t="s">
        <v>158</v>
      </c>
      <c r="DW330" t="s">
        <v>158</v>
      </c>
      <c r="DX330">
        <v>1</v>
      </c>
      <c r="EE330">
        <v>34319439</v>
      </c>
      <c r="EF330">
        <v>202</v>
      </c>
      <c r="EG330" t="s">
        <v>159</v>
      </c>
      <c r="EH330">
        <v>0</v>
      </c>
      <c r="EJ330">
        <v>1</v>
      </c>
      <c r="EK330">
        <v>400002</v>
      </c>
      <c r="EL330" t="s">
        <v>160</v>
      </c>
      <c r="EM330" t="s">
        <v>159</v>
      </c>
      <c r="EQ330">
        <v>0</v>
      </c>
      <c r="ER330">
        <v>1151.69</v>
      </c>
      <c r="ES330">
        <v>1151.69</v>
      </c>
      <c r="ET330">
        <v>0</v>
      </c>
      <c r="EU330">
        <v>0</v>
      </c>
      <c r="EV330">
        <v>0</v>
      </c>
      <c r="EW330">
        <v>0</v>
      </c>
      <c r="EX330">
        <v>0</v>
      </c>
      <c r="EY330">
        <v>0</v>
      </c>
      <c r="EZ330">
        <v>5</v>
      </c>
      <c r="FC330">
        <v>1</v>
      </c>
      <c r="FD330">
        <v>18</v>
      </c>
      <c r="FF330">
        <v>1359</v>
      </c>
      <c r="FQ330">
        <v>0</v>
      </c>
      <c r="FR330">
        <f t="shared" si="302"/>
        <v>0</v>
      </c>
      <c r="FS330">
        <v>0</v>
      </c>
      <c r="FX330">
        <v>0</v>
      </c>
      <c r="FY330">
        <v>0</v>
      </c>
      <c r="GA330" t="s">
        <v>365</v>
      </c>
      <c r="GD330">
        <v>0</v>
      </c>
      <c r="GF330">
        <v>-1382392181</v>
      </c>
      <c r="GG330">
        <v>2</v>
      </c>
      <c r="GH330">
        <v>3</v>
      </c>
      <c r="GI330">
        <v>-2</v>
      </c>
      <c r="GJ330">
        <v>0</v>
      </c>
      <c r="GK330">
        <f>ROUND(R330*(R12)/100,2)</f>
        <v>0</v>
      </c>
      <c r="GL330">
        <f t="shared" si="303"/>
        <v>0</v>
      </c>
      <c r="GM330">
        <f t="shared" si="304"/>
        <v>2624701.51</v>
      </c>
      <c r="GN330">
        <f t="shared" si="305"/>
        <v>2624701.51</v>
      </c>
      <c r="GO330">
        <f t="shared" si="306"/>
        <v>0</v>
      </c>
      <c r="GP330">
        <f t="shared" si="307"/>
        <v>0</v>
      </c>
      <c r="GT330">
        <v>0</v>
      </c>
      <c r="GU330">
        <v>1</v>
      </c>
      <c r="GV330">
        <v>0</v>
      </c>
      <c r="GW330">
        <v>0</v>
      </c>
      <c r="GX330">
        <f t="shared" si="308"/>
        <v>0</v>
      </c>
    </row>
    <row r="331" spans="1:206" ht="12.75">
      <c r="A331">
        <v>17</v>
      </c>
      <c r="B331">
        <v>1</v>
      </c>
      <c r="C331">
        <f>ROW(SmtRes!A143)</f>
        <v>143</v>
      </c>
      <c r="E331" t="s">
        <v>389</v>
      </c>
      <c r="F331" t="s">
        <v>173</v>
      </c>
      <c r="G331" t="s">
        <v>174</v>
      </c>
      <c r="H331" t="s">
        <v>165</v>
      </c>
      <c r="I331">
        <v>3</v>
      </c>
      <c r="J331">
        <v>0</v>
      </c>
      <c r="O331">
        <f t="shared" si="277"/>
        <v>17903.17</v>
      </c>
      <c r="P331">
        <f t="shared" si="278"/>
        <v>962.11</v>
      </c>
      <c r="Q331">
        <f t="shared" si="279"/>
        <v>1301.55</v>
      </c>
      <c r="R331">
        <f t="shared" si="280"/>
        <v>347.07</v>
      </c>
      <c r="S331">
        <f t="shared" si="281"/>
        <v>15639.51</v>
      </c>
      <c r="T331">
        <f t="shared" si="282"/>
        <v>0</v>
      </c>
      <c r="U331">
        <f t="shared" si="283"/>
        <v>58.30010099999999</v>
      </c>
      <c r="V331">
        <f t="shared" si="284"/>
        <v>0</v>
      </c>
      <c r="W331">
        <f t="shared" si="285"/>
        <v>0</v>
      </c>
      <c r="X331">
        <f t="shared" si="286"/>
        <v>14075.56</v>
      </c>
      <c r="Y331">
        <f t="shared" si="287"/>
        <v>6724.99</v>
      </c>
      <c r="AA331">
        <v>34388368</v>
      </c>
      <c r="AB331">
        <f t="shared" si="288"/>
        <v>366.967</v>
      </c>
      <c r="AC331">
        <f t="shared" si="289"/>
        <v>61.32</v>
      </c>
      <c r="AD331">
        <f>ROUND(((((ET331*1.15))-((EU331*1.15)))+AE331),6)</f>
        <v>61.571</v>
      </c>
      <c r="AE331">
        <f>ROUND(((EU331*1.15)),6)</f>
        <v>5.4165</v>
      </c>
      <c r="AF331">
        <f>ROUND(((EV331*1.15)),6)</f>
        <v>244.076</v>
      </c>
      <c r="AG331">
        <f t="shared" si="290"/>
        <v>0</v>
      </c>
      <c r="AH331">
        <f>((EW331*1.15))</f>
        <v>18.561</v>
      </c>
      <c r="AI331">
        <f>((EX331*1.15))</f>
        <v>0</v>
      </c>
      <c r="AJ331">
        <f t="shared" si="291"/>
        <v>0</v>
      </c>
      <c r="AK331">
        <v>327.1</v>
      </c>
      <c r="AL331">
        <v>61.32</v>
      </c>
      <c r="AM331">
        <v>53.54</v>
      </c>
      <c r="AN331">
        <v>4.71</v>
      </c>
      <c r="AO331">
        <v>212.24</v>
      </c>
      <c r="AP331">
        <v>0</v>
      </c>
      <c r="AQ331">
        <v>16.14</v>
      </c>
      <c r="AR331">
        <v>0</v>
      </c>
      <c r="AS331">
        <v>0</v>
      </c>
      <c r="AT331">
        <v>90</v>
      </c>
      <c r="AU331">
        <v>43</v>
      </c>
      <c r="AV331">
        <v>1.047</v>
      </c>
      <c r="AW331">
        <v>1</v>
      </c>
      <c r="AZ331">
        <v>1</v>
      </c>
      <c r="BA331">
        <v>20.4</v>
      </c>
      <c r="BB331">
        <v>6.73</v>
      </c>
      <c r="BC331">
        <v>5.23</v>
      </c>
      <c r="BH331">
        <v>0</v>
      </c>
      <c r="BI331">
        <v>2</v>
      </c>
      <c r="BJ331" t="s">
        <v>175</v>
      </c>
      <c r="BM331">
        <v>1726</v>
      </c>
      <c r="BN331">
        <v>0</v>
      </c>
      <c r="BO331" t="s">
        <v>173</v>
      </c>
      <c r="BP331">
        <v>1</v>
      </c>
      <c r="BQ331">
        <v>40</v>
      </c>
      <c r="BR331">
        <v>0</v>
      </c>
      <c r="BS331">
        <v>20.4</v>
      </c>
      <c r="BT331">
        <v>1</v>
      </c>
      <c r="BU331">
        <v>1</v>
      </c>
      <c r="BV331">
        <v>1</v>
      </c>
      <c r="BW331">
        <v>1</v>
      </c>
      <c r="BX331">
        <v>1</v>
      </c>
      <c r="BZ331">
        <v>90</v>
      </c>
      <c r="CA331">
        <v>43</v>
      </c>
      <c r="CF331">
        <v>0</v>
      </c>
      <c r="CG331">
        <v>0</v>
      </c>
      <c r="CM331">
        <v>0</v>
      </c>
      <c r="CN331" t="s">
        <v>521</v>
      </c>
      <c r="CO331">
        <v>0</v>
      </c>
      <c r="CP331">
        <f t="shared" si="292"/>
        <v>17903.17</v>
      </c>
      <c r="CQ331">
        <f t="shared" si="293"/>
        <v>320.70360000000005</v>
      </c>
      <c r="CR331">
        <f>(((((ET331*1.15))*BB331-((EU331*1.15))*BS331)+AE331*BS331)*AV331)</f>
        <v>433.8483530099999</v>
      </c>
      <c r="CS331">
        <f t="shared" si="294"/>
        <v>115.6899402</v>
      </c>
      <c r="CT331">
        <f t="shared" si="295"/>
        <v>5213.170468799999</v>
      </c>
      <c r="CU331">
        <f t="shared" si="296"/>
        <v>0</v>
      </c>
      <c r="CV331">
        <f t="shared" si="297"/>
        <v>19.433366999999997</v>
      </c>
      <c r="CW331">
        <f t="shared" si="298"/>
        <v>0</v>
      </c>
      <c r="CX331">
        <f t="shared" si="299"/>
        <v>0</v>
      </c>
      <c r="CY331">
        <f t="shared" si="300"/>
        <v>14075.559000000001</v>
      </c>
      <c r="CZ331">
        <f t="shared" si="301"/>
        <v>6724.9893</v>
      </c>
      <c r="DE331" t="s">
        <v>27</v>
      </c>
      <c r="DF331" t="s">
        <v>27</v>
      </c>
      <c r="DG331" t="s">
        <v>27</v>
      </c>
      <c r="DI331" t="s">
        <v>27</v>
      </c>
      <c r="DJ331" t="s">
        <v>27</v>
      </c>
      <c r="DN331">
        <v>112</v>
      </c>
      <c r="DO331">
        <v>70</v>
      </c>
      <c r="DP331">
        <v>1.047</v>
      </c>
      <c r="DQ331">
        <v>1</v>
      </c>
      <c r="DU331">
        <v>1013</v>
      </c>
      <c r="DV331" t="s">
        <v>165</v>
      </c>
      <c r="DW331" t="s">
        <v>165</v>
      </c>
      <c r="DX331">
        <v>1</v>
      </c>
      <c r="EE331">
        <v>34319141</v>
      </c>
      <c r="EF331">
        <v>40</v>
      </c>
      <c r="EG331" t="s">
        <v>49</v>
      </c>
      <c r="EH331">
        <v>0</v>
      </c>
      <c r="EJ331">
        <v>2</v>
      </c>
      <c r="EK331">
        <v>1726</v>
      </c>
      <c r="EL331" t="s">
        <v>167</v>
      </c>
      <c r="EM331" t="s">
        <v>168</v>
      </c>
      <c r="EO331" t="s">
        <v>52</v>
      </c>
      <c r="EQ331">
        <v>0</v>
      </c>
      <c r="ER331">
        <v>327.1</v>
      </c>
      <c r="ES331">
        <v>61.32</v>
      </c>
      <c r="ET331">
        <v>53.54</v>
      </c>
      <c r="EU331">
        <v>4.71</v>
      </c>
      <c r="EV331">
        <v>212.24</v>
      </c>
      <c r="EW331">
        <v>16.14</v>
      </c>
      <c r="EX331">
        <v>0</v>
      </c>
      <c r="EY331">
        <v>0</v>
      </c>
      <c r="FQ331">
        <v>0</v>
      </c>
      <c r="FR331">
        <f t="shared" si="302"/>
        <v>0</v>
      </c>
      <c r="FS331">
        <v>0</v>
      </c>
      <c r="FX331">
        <v>112</v>
      </c>
      <c r="FY331">
        <v>70</v>
      </c>
      <c r="GD331">
        <v>0</v>
      </c>
      <c r="GF331">
        <v>607223126</v>
      </c>
      <c r="GG331">
        <v>2</v>
      </c>
      <c r="GH331">
        <v>1</v>
      </c>
      <c r="GI331">
        <v>2</v>
      </c>
      <c r="GJ331">
        <v>0</v>
      </c>
      <c r="GK331">
        <f>ROUND(R331*(R12)/100,2)</f>
        <v>579.61</v>
      </c>
      <c r="GL331">
        <f t="shared" si="303"/>
        <v>0</v>
      </c>
      <c r="GM331">
        <f t="shared" si="304"/>
        <v>39283.329999999994</v>
      </c>
      <c r="GN331">
        <f t="shared" si="305"/>
        <v>0</v>
      </c>
      <c r="GO331">
        <f t="shared" si="306"/>
        <v>39283.33</v>
      </c>
      <c r="GP331">
        <f t="shared" si="307"/>
        <v>0</v>
      </c>
      <c r="GT331">
        <v>0</v>
      </c>
      <c r="GU331">
        <v>1</v>
      </c>
      <c r="GV331">
        <v>0</v>
      </c>
      <c r="GW331">
        <v>0</v>
      </c>
      <c r="GX331">
        <f t="shared" si="308"/>
        <v>0</v>
      </c>
    </row>
    <row r="332" spans="1:206" ht="12.75">
      <c r="A332">
        <v>18</v>
      </c>
      <c r="B332">
        <v>1</v>
      </c>
      <c r="C332">
        <v>143</v>
      </c>
      <c r="E332" t="s">
        <v>390</v>
      </c>
      <c r="F332" t="s">
        <v>62</v>
      </c>
      <c r="G332" t="s">
        <v>372</v>
      </c>
      <c r="H332" t="s">
        <v>165</v>
      </c>
      <c r="I332">
        <f>I331*J332</f>
        <v>3</v>
      </c>
      <c r="J332">
        <v>1</v>
      </c>
      <c r="O332">
        <f t="shared" si="277"/>
        <v>67500</v>
      </c>
      <c r="P332">
        <f t="shared" si="278"/>
        <v>67500</v>
      </c>
      <c r="Q332">
        <f t="shared" si="279"/>
        <v>0</v>
      </c>
      <c r="R332">
        <f t="shared" si="280"/>
        <v>0</v>
      </c>
      <c r="S332">
        <f t="shared" si="281"/>
        <v>0</v>
      </c>
      <c r="T332">
        <f t="shared" si="282"/>
        <v>0</v>
      </c>
      <c r="U332">
        <f t="shared" si="283"/>
        <v>0</v>
      </c>
      <c r="V332">
        <f t="shared" si="284"/>
        <v>0</v>
      </c>
      <c r="W332">
        <f t="shared" si="285"/>
        <v>0</v>
      </c>
      <c r="X332">
        <f t="shared" si="286"/>
        <v>0</v>
      </c>
      <c r="Y332">
        <f t="shared" si="287"/>
        <v>0</v>
      </c>
      <c r="AA332">
        <v>34388368</v>
      </c>
      <c r="AB332">
        <f t="shared" si="288"/>
        <v>22500</v>
      </c>
      <c r="AC332">
        <f t="shared" si="289"/>
        <v>22500</v>
      </c>
      <c r="AD332">
        <f>ROUND((((ET332)-(EU332))+AE332),6)</f>
        <v>0</v>
      </c>
      <c r="AE332">
        <f>ROUND((EU332),6)</f>
        <v>0</v>
      </c>
      <c r="AF332">
        <f>ROUND((EV332),6)</f>
        <v>0</v>
      </c>
      <c r="AG332">
        <f t="shared" si="290"/>
        <v>0</v>
      </c>
      <c r="AH332">
        <f>(EW332)</f>
        <v>0</v>
      </c>
      <c r="AI332">
        <f>(EX332)</f>
        <v>0</v>
      </c>
      <c r="AJ332">
        <f t="shared" si="291"/>
        <v>0</v>
      </c>
      <c r="AK332">
        <v>22500</v>
      </c>
      <c r="AL332">
        <v>22500</v>
      </c>
      <c r="AM332">
        <v>0</v>
      </c>
      <c r="AN332">
        <v>0</v>
      </c>
      <c r="AO332">
        <v>0</v>
      </c>
      <c r="AP332">
        <v>0</v>
      </c>
      <c r="AQ332">
        <v>0</v>
      </c>
      <c r="AR332">
        <v>0</v>
      </c>
      <c r="AS332">
        <v>0</v>
      </c>
      <c r="AT332">
        <v>0</v>
      </c>
      <c r="AU332">
        <v>0</v>
      </c>
      <c r="AV332">
        <v>1</v>
      </c>
      <c r="AW332">
        <v>1</v>
      </c>
      <c r="AZ332">
        <v>1</v>
      </c>
      <c r="BA332">
        <v>1</v>
      </c>
      <c r="BB332">
        <v>1</v>
      </c>
      <c r="BC332">
        <v>1</v>
      </c>
      <c r="BH332">
        <v>3</v>
      </c>
      <c r="BI332">
        <v>2</v>
      </c>
      <c r="BM332">
        <v>1726</v>
      </c>
      <c r="BN332">
        <v>0</v>
      </c>
      <c r="BP332">
        <v>0</v>
      </c>
      <c r="BQ332">
        <v>40</v>
      </c>
      <c r="BR332">
        <v>0</v>
      </c>
      <c r="BS332">
        <v>1</v>
      </c>
      <c r="BT332">
        <v>1</v>
      </c>
      <c r="BU332">
        <v>1</v>
      </c>
      <c r="BV332">
        <v>1</v>
      </c>
      <c r="BW332">
        <v>1</v>
      </c>
      <c r="BX332">
        <v>1</v>
      </c>
      <c r="BZ332">
        <v>0</v>
      </c>
      <c r="CA332">
        <v>0</v>
      </c>
      <c r="CF332">
        <v>0</v>
      </c>
      <c r="CG332">
        <v>0</v>
      </c>
      <c r="CM332">
        <v>0</v>
      </c>
      <c r="CO332">
        <v>0</v>
      </c>
      <c r="CP332">
        <f t="shared" si="292"/>
        <v>67500</v>
      </c>
      <c r="CQ332">
        <f t="shared" si="293"/>
        <v>22500</v>
      </c>
      <c r="CR332">
        <f>((((ET332)*BB332-(EU332)*BS332)+AE332*BS332)*AV332)</f>
        <v>0</v>
      </c>
      <c r="CS332">
        <f t="shared" si="294"/>
        <v>0</v>
      </c>
      <c r="CT332">
        <f t="shared" si="295"/>
        <v>0</v>
      </c>
      <c r="CU332">
        <f t="shared" si="296"/>
        <v>0</v>
      </c>
      <c r="CV332">
        <f t="shared" si="297"/>
        <v>0</v>
      </c>
      <c r="CW332">
        <f t="shared" si="298"/>
        <v>0</v>
      </c>
      <c r="CX332">
        <f t="shared" si="299"/>
        <v>0</v>
      </c>
      <c r="CY332">
        <f t="shared" si="300"/>
        <v>0</v>
      </c>
      <c r="CZ332">
        <f t="shared" si="301"/>
        <v>0</v>
      </c>
      <c r="DN332">
        <v>112</v>
      </c>
      <c r="DO332">
        <v>70</v>
      </c>
      <c r="DP332">
        <v>1.047</v>
      </c>
      <c r="DQ332">
        <v>1</v>
      </c>
      <c r="DU332">
        <v>1013</v>
      </c>
      <c r="DV332" t="s">
        <v>165</v>
      </c>
      <c r="DW332" t="s">
        <v>165</v>
      </c>
      <c r="DX332">
        <v>1</v>
      </c>
      <c r="EE332">
        <v>34319141</v>
      </c>
      <c r="EF332">
        <v>40</v>
      </c>
      <c r="EG332" t="s">
        <v>49</v>
      </c>
      <c r="EH332">
        <v>0</v>
      </c>
      <c r="EJ332">
        <v>2</v>
      </c>
      <c r="EK332">
        <v>1726</v>
      </c>
      <c r="EL332" t="s">
        <v>167</v>
      </c>
      <c r="EM332" t="s">
        <v>168</v>
      </c>
      <c r="EQ332">
        <v>0</v>
      </c>
      <c r="ER332">
        <v>22500</v>
      </c>
      <c r="ES332">
        <v>22500</v>
      </c>
      <c r="ET332">
        <v>0</v>
      </c>
      <c r="EU332">
        <v>0</v>
      </c>
      <c r="EV332">
        <v>0</v>
      </c>
      <c r="EW332">
        <v>0</v>
      </c>
      <c r="EX332">
        <v>0</v>
      </c>
      <c r="EZ332">
        <v>5</v>
      </c>
      <c r="FC332">
        <v>1</v>
      </c>
      <c r="FD332">
        <v>18</v>
      </c>
      <c r="FF332">
        <v>26550</v>
      </c>
      <c r="FQ332">
        <v>0</v>
      </c>
      <c r="FR332">
        <f t="shared" si="302"/>
        <v>0</v>
      </c>
      <c r="FS332">
        <v>0</v>
      </c>
      <c r="FX332">
        <v>112</v>
      </c>
      <c r="FY332">
        <v>70</v>
      </c>
      <c r="GA332" t="s">
        <v>373</v>
      </c>
      <c r="GD332">
        <v>0</v>
      </c>
      <c r="GF332">
        <v>-409080022</v>
      </c>
      <c r="GG332">
        <v>2</v>
      </c>
      <c r="GH332">
        <v>3</v>
      </c>
      <c r="GI332">
        <v>-2</v>
      </c>
      <c r="GJ332">
        <v>0</v>
      </c>
      <c r="GK332">
        <f>ROUND(R332*(R12)/100,2)</f>
        <v>0</v>
      </c>
      <c r="GL332">
        <f t="shared" si="303"/>
        <v>0</v>
      </c>
      <c r="GM332">
        <f t="shared" si="304"/>
        <v>67500</v>
      </c>
      <c r="GN332">
        <f t="shared" si="305"/>
        <v>0</v>
      </c>
      <c r="GO332">
        <f t="shared" si="306"/>
        <v>67500</v>
      </c>
      <c r="GP332">
        <f t="shared" si="307"/>
        <v>0</v>
      </c>
      <c r="GT332">
        <v>0</v>
      </c>
      <c r="GU332">
        <v>1</v>
      </c>
      <c r="GV332">
        <v>0</v>
      </c>
      <c r="GW332">
        <v>0</v>
      </c>
      <c r="GX332">
        <f t="shared" si="308"/>
        <v>0</v>
      </c>
    </row>
    <row r="333" spans="1:206" ht="12.75">
      <c r="A333">
        <v>17</v>
      </c>
      <c r="B333">
        <v>1</v>
      </c>
      <c r="C333">
        <f>ROW(SmtRes!A144)</f>
        <v>144</v>
      </c>
      <c r="E333" t="s">
        <v>391</v>
      </c>
      <c r="F333" t="s">
        <v>375</v>
      </c>
      <c r="G333" t="s">
        <v>376</v>
      </c>
      <c r="H333" t="s">
        <v>225</v>
      </c>
      <c r="I333">
        <f>ROUND(372/100,9)</f>
        <v>3.72</v>
      </c>
      <c r="J333">
        <v>0</v>
      </c>
      <c r="O333">
        <f t="shared" si="277"/>
        <v>48821.49</v>
      </c>
      <c r="P333">
        <f t="shared" si="278"/>
        <v>5447.57</v>
      </c>
      <c r="Q333">
        <f t="shared" si="279"/>
        <v>9304.24</v>
      </c>
      <c r="R333">
        <f t="shared" si="280"/>
        <v>4958.26</v>
      </c>
      <c r="S333">
        <f t="shared" si="281"/>
        <v>34069.68</v>
      </c>
      <c r="T333">
        <f t="shared" si="282"/>
        <v>0</v>
      </c>
      <c r="U333">
        <f t="shared" si="283"/>
        <v>135.44695584</v>
      </c>
      <c r="V333">
        <f t="shared" si="284"/>
        <v>0</v>
      </c>
      <c r="W333">
        <f t="shared" si="285"/>
        <v>0</v>
      </c>
      <c r="X333">
        <f t="shared" si="286"/>
        <v>30662.71</v>
      </c>
      <c r="Y333">
        <f t="shared" si="287"/>
        <v>14649.96</v>
      </c>
      <c r="AA333">
        <v>34388368</v>
      </c>
      <c r="AB333">
        <f t="shared" si="288"/>
        <v>977.5072</v>
      </c>
      <c r="AC333">
        <f t="shared" si="289"/>
        <v>280</v>
      </c>
      <c r="AD333">
        <f>ROUND((((((ET333*1.2)*1.15))-(((EU333*1.2)*1.15)))+AE333),6)</f>
        <v>268.7136</v>
      </c>
      <c r="AE333">
        <f>ROUND((((EU333*1.2)*1.15)),6)</f>
        <v>62.4036</v>
      </c>
      <c r="AF333">
        <f>ROUND((((EV333*1.2)*1.15)),6)</f>
        <v>428.7936</v>
      </c>
      <c r="AG333">
        <f t="shared" si="290"/>
        <v>0</v>
      </c>
      <c r="AH333">
        <f>(((EW333*1.2)*1.15))</f>
        <v>34.775999999999996</v>
      </c>
      <c r="AI333">
        <f>(((EX333*1.2)*1.15))</f>
        <v>0</v>
      </c>
      <c r="AJ333">
        <f t="shared" si="291"/>
        <v>0</v>
      </c>
      <c r="AK333">
        <v>785.44</v>
      </c>
      <c r="AL333">
        <v>280</v>
      </c>
      <c r="AM333">
        <v>194.72</v>
      </c>
      <c r="AN333">
        <v>45.22</v>
      </c>
      <c r="AO333">
        <v>310.72</v>
      </c>
      <c r="AP333">
        <v>0</v>
      </c>
      <c r="AQ333">
        <v>25.2</v>
      </c>
      <c r="AR333">
        <v>0</v>
      </c>
      <c r="AS333">
        <v>0</v>
      </c>
      <c r="AT333">
        <v>90</v>
      </c>
      <c r="AU333">
        <v>43</v>
      </c>
      <c r="AV333">
        <v>1.047</v>
      </c>
      <c r="AW333">
        <v>1</v>
      </c>
      <c r="AZ333">
        <v>1</v>
      </c>
      <c r="BA333">
        <v>20.4</v>
      </c>
      <c r="BB333">
        <v>8.89</v>
      </c>
      <c r="BC333">
        <v>5.23</v>
      </c>
      <c r="BH333">
        <v>0</v>
      </c>
      <c r="BI333">
        <v>2</v>
      </c>
      <c r="BJ333" t="s">
        <v>377</v>
      </c>
      <c r="BM333">
        <v>320</v>
      </c>
      <c r="BN333">
        <v>0</v>
      </c>
      <c r="BO333" t="s">
        <v>375</v>
      </c>
      <c r="BP333">
        <v>1</v>
      </c>
      <c r="BQ333">
        <v>40</v>
      </c>
      <c r="BR333">
        <v>0</v>
      </c>
      <c r="BS333">
        <v>20.4</v>
      </c>
      <c r="BT333">
        <v>1</v>
      </c>
      <c r="BU333">
        <v>1</v>
      </c>
      <c r="BV333">
        <v>1</v>
      </c>
      <c r="BW333">
        <v>1</v>
      </c>
      <c r="BX333">
        <v>1</v>
      </c>
      <c r="BZ333">
        <v>90</v>
      </c>
      <c r="CA333">
        <v>43</v>
      </c>
      <c r="CF333">
        <v>0</v>
      </c>
      <c r="CG333">
        <v>0</v>
      </c>
      <c r="CM333">
        <v>0</v>
      </c>
      <c r="CN333" t="s">
        <v>523</v>
      </c>
      <c r="CO333">
        <v>0</v>
      </c>
      <c r="CP333">
        <f t="shared" si="292"/>
        <v>48821.49</v>
      </c>
      <c r="CQ333">
        <f t="shared" si="293"/>
        <v>1464.4</v>
      </c>
      <c r="CR333">
        <f>((((((ET333*1.2)*1.15))*BB333-(((EU333*1.2)*1.15))*BS333)+AE333*BS333)*AV333)</f>
        <v>2501.1405074879995</v>
      </c>
      <c r="CS333">
        <f t="shared" si="294"/>
        <v>1332.86601168</v>
      </c>
      <c r="CT333">
        <f t="shared" si="295"/>
        <v>9158.51674368</v>
      </c>
      <c r="CU333">
        <f t="shared" si="296"/>
        <v>0</v>
      </c>
      <c r="CV333">
        <f t="shared" si="297"/>
        <v>36.41047199999999</v>
      </c>
      <c r="CW333">
        <f t="shared" si="298"/>
        <v>0</v>
      </c>
      <c r="CX333">
        <f t="shared" si="299"/>
        <v>0</v>
      </c>
      <c r="CY333">
        <f t="shared" si="300"/>
        <v>30662.712</v>
      </c>
      <c r="CZ333">
        <f t="shared" si="301"/>
        <v>14649.9624</v>
      </c>
      <c r="DE333" t="s">
        <v>343</v>
      </c>
      <c r="DF333" t="s">
        <v>343</v>
      </c>
      <c r="DG333" t="s">
        <v>343</v>
      </c>
      <c r="DI333" t="s">
        <v>343</v>
      </c>
      <c r="DJ333" t="s">
        <v>343</v>
      </c>
      <c r="DN333">
        <v>112</v>
      </c>
      <c r="DO333">
        <v>70</v>
      </c>
      <c r="DP333">
        <v>1.047</v>
      </c>
      <c r="DQ333">
        <v>1</v>
      </c>
      <c r="DU333">
        <v>1005</v>
      </c>
      <c r="DV333" t="s">
        <v>225</v>
      </c>
      <c r="DW333" t="s">
        <v>225</v>
      </c>
      <c r="DX333">
        <v>100</v>
      </c>
      <c r="EE333">
        <v>34317735</v>
      </c>
      <c r="EF333">
        <v>40</v>
      </c>
      <c r="EG333" t="s">
        <v>49</v>
      </c>
      <c r="EH333">
        <v>0</v>
      </c>
      <c r="EJ333">
        <v>2</v>
      </c>
      <c r="EK333">
        <v>320</v>
      </c>
      <c r="EL333" t="s">
        <v>186</v>
      </c>
      <c r="EM333" t="s">
        <v>187</v>
      </c>
      <c r="EO333" t="s">
        <v>356</v>
      </c>
      <c r="EQ333">
        <v>0</v>
      </c>
      <c r="ER333">
        <v>785.44</v>
      </c>
      <c r="ES333">
        <v>280</v>
      </c>
      <c r="ET333">
        <v>194.72</v>
      </c>
      <c r="EU333">
        <v>45.22</v>
      </c>
      <c r="EV333">
        <v>310.72</v>
      </c>
      <c r="EW333">
        <v>25.2</v>
      </c>
      <c r="EX333">
        <v>0</v>
      </c>
      <c r="EY333">
        <v>0</v>
      </c>
      <c r="FQ333">
        <v>0</v>
      </c>
      <c r="FR333">
        <f t="shared" si="302"/>
        <v>0</v>
      </c>
      <c r="FS333">
        <v>0</v>
      </c>
      <c r="FX333">
        <v>112</v>
      </c>
      <c r="FY333">
        <v>70</v>
      </c>
      <c r="GD333">
        <v>0</v>
      </c>
      <c r="GF333">
        <v>-556765091</v>
      </c>
      <c r="GG333">
        <v>2</v>
      </c>
      <c r="GH333">
        <v>1</v>
      </c>
      <c r="GI333">
        <v>2</v>
      </c>
      <c r="GJ333">
        <v>0</v>
      </c>
      <c r="GK333">
        <f>ROUND(R333*(R12)/100,2)</f>
        <v>8280.29</v>
      </c>
      <c r="GL333">
        <f t="shared" si="303"/>
        <v>0</v>
      </c>
      <c r="GM333">
        <f t="shared" si="304"/>
        <v>102414.45000000001</v>
      </c>
      <c r="GN333">
        <f t="shared" si="305"/>
        <v>0</v>
      </c>
      <c r="GO333">
        <f t="shared" si="306"/>
        <v>102414.45</v>
      </c>
      <c r="GP333">
        <f t="shared" si="307"/>
        <v>0</v>
      </c>
      <c r="GT333">
        <v>0</v>
      </c>
      <c r="GU333">
        <v>1</v>
      </c>
      <c r="GV333">
        <v>0</v>
      </c>
      <c r="GW333">
        <v>0</v>
      </c>
      <c r="GX333">
        <f t="shared" si="308"/>
        <v>0</v>
      </c>
    </row>
    <row r="334" spans="1:206" ht="12.75">
      <c r="A334">
        <v>18</v>
      </c>
      <c r="B334">
        <v>1</v>
      </c>
      <c r="C334">
        <v>144</v>
      </c>
      <c r="E334" t="s">
        <v>392</v>
      </c>
      <c r="F334" t="s">
        <v>62</v>
      </c>
      <c r="G334" t="s">
        <v>379</v>
      </c>
      <c r="H334" t="s">
        <v>165</v>
      </c>
      <c r="I334">
        <f>I333*J334</f>
        <v>620</v>
      </c>
      <c r="J334">
        <v>166.66666666666666</v>
      </c>
      <c r="O334">
        <f t="shared" si="277"/>
        <v>635760.4</v>
      </c>
      <c r="P334">
        <f t="shared" si="278"/>
        <v>635760.4</v>
      </c>
      <c r="Q334">
        <f t="shared" si="279"/>
        <v>0</v>
      </c>
      <c r="R334">
        <f t="shared" si="280"/>
        <v>0</v>
      </c>
      <c r="S334">
        <f t="shared" si="281"/>
        <v>0</v>
      </c>
      <c r="T334">
        <f t="shared" si="282"/>
        <v>0</v>
      </c>
      <c r="U334">
        <f t="shared" si="283"/>
        <v>0</v>
      </c>
      <c r="V334">
        <f t="shared" si="284"/>
        <v>0</v>
      </c>
      <c r="W334">
        <f t="shared" si="285"/>
        <v>0</v>
      </c>
      <c r="X334">
        <f t="shared" si="286"/>
        <v>0</v>
      </c>
      <c r="Y334">
        <f t="shared" si="287"/>
        <v>0</v>
      </c>
      <c r="AA334">
        <v>34388368</v>
      </c>
      <c r="AB334">
        <f t="shared" si="288"/>
        <v>1025.42</v>
      </c>
      <c r="AC334">
        <f t="shared" si="289"/>
        <v>1025.42</v>
      </c>
      <c r="AD334">
        <f>ROUND((((ET334)-(EU334))+AE334),6)</f>
        <v>0</v>
      </c>
      <c r="AE334">
        <f>ROUND((EU334),6)</f>
        <v>0</v>
      </c>
      <c r="AF334">
        <f>ROUND((EV334),6)</f>
        <v>0</v>
      </c>
      <c r="AG334">
        <f t="shared" si="290"/>
        <v>0</v>
      </c>
      <c r="AH334">
        <f>(EW334)</f>
        <v>0</v>
      </c>
      <c r="AI334">
        <f>(EX334)</f>
        <v>0</v>
      </c>
      <c r="AJ334">
        <f t="shared" si="291"/>
        <v>0</v>
      </c>
      <c r="AK334">
        <v>1025.42</v>
      </c>
      <c r="AL334">
        <v>1025.42</v>
      </c>
      <c r="AM334">
        <v>0</v>
      </c>
      <c r="AN334">
        <v>0</v>
      </c>
      <c r="AO334">
        <v>0</v>
      </c>
      <c r="AP334">
        <v>0</v>
      </c>
      <c r="AQ334">
        <v>0</v>
      </c>
      <c r="AR334">
        <v>0</v>
      </c>
      <c r="AS334">
        <v>0</v>
      </c>
      <c r="AT334">
        <v>0</v>
      </c>
      <c r="AU334">
        <v>0</v>
      </c>
      <c r="AV334">
        <v>1</v>
      </c>
      <c r="AW334">
        <v>1</v>
      </c>
      <c r="AZ334">
        <v>1</v>
      </c>
      <c r="BA334">
        <v>1</v>
      </c>
      <c r="BB334">
        <v>1</v>
      </c>
      <c r="BC334">
        <v>1</v>
      </c>
      <c r="BH334">
        <v>3</v>
      </c>
      <c r="BI334">
        <v>2</v>
      </c>
      <c r="BM334">
        <v>320</v>
      </c>
      <c r="BN334">
        <v>0</v>
      </c>
      <c r="BP334">
        <v>0</v>
      </c>
      <c r="BQ334">
        <v>40</v>
      </c>
      <c r="BR334">
        <v>0</v>
      </c>
      <c r="BS334">
        <v>1</v>
      </c>
      <c r="BT334">
        <v>1</v>
      </c>
      <c r="BU334">
        <v>1</v>
      </c>
      <c r="BV334">
        <v>1</v>
      </c>
      <c r="BW334">
        <v>1</v>
      </c>
      <c r="BX334">
        <v>1</v>
      </c>
      <c r="BZ334">
        <v>0</v>
      </c>
      <c r="CA334">
        <v>0</v>
      </c>
      <c r="CF334">
        <v>0</v>
      </c>
      <c r="CG334">
        <v>0</v>
      </c>
      <c r="CM334">
        <v>0</v>
      </c>
      <c r="CO334">
        <v>0</v>
      </c>
      <c r="CP334">
        <f t="shared" si="292"/>
        <v>635760.4</v>
      </c>
      <c r="CQ334">
        <f t="shared" si="293"/>
        <v>1025.42</v>
      </c>
      <c r="CR334">
        <f>((((ET334)*BB334-(EU334)*BS334)+AE334*BS334)*AV334)</f>
        <v>0</v>
      </c>
      <c r="CS334">
        <f t="shared" si="294"/>
        <v>0</v>
      </c>
      <c r="CT334">
        <f t="shared" si="295"/>
        <v>0</v>
      </c>
      <c r="CU334">
        <f t="shared" si="296"/>
        <v>0</v>
      </c>
      <c r="CV334">
        <f t="shared" si="297"/>
        <v>0</v>
      </c>
      <c r="CW334">
        <f t="shared" si="298"/>
        <v>0</v>
      </c>
      <c r="CX334">
        <f t="shared" si="299"/>
        <v>0</v>
      </c>
      <c r="CY334">
        <f t="shared" si="300"/>
        <v>0</v>
      </c>
      <c r="CZ334">
        <f t="shared" si="301"/>
        <v>0</v>
      </c>
      <c r="DN334">
        <v>112</v>
      </c>
      <c r="DO334">
        <v>70</v>
      </c>
      <c r="DP334">
        <v>1.047</v>
      </c>
      <c r="DQ334">
        <v>1</v>
      </c>
      <c r="DU334">
        <v>1013</v>
      </c>
      <c r="DV334" t="s">
        <v>165</v>
      </c>
      <c r="DW334" t="s">
        <v>165</v>
      </c>
      <c r="DX334">
        <v>1</v>
      </c>
      <c r="EE334">
        <v>34317735</v>
      </c>
      <c r="EF334">
        <v>40</v>
      </c>
      <c r="EG334" t="s">
        <v>49</v>
      </c>
      <c r="EH334">
        <v>0</v>
      </c>
      <c r="EJ334">
        <v>2</v>
      </c>
      <c r="EK334">
        <v>320</v>
      </c>
      <c r="EL334" t="s">
        <v>186</v>
      </c>
      <c r="EM334" t="s">
        <v>187</v>
      </c>
      <c r="EQ334">
        <v>0</v>
      </c>
      <c r="ER334">
        <v>1025.42</v>
      </c>
      <c r="ES334">
        <v>1025.42</v>
      </c>
      <c r="ET334">
        <v>0</v>
      </c>
      <c r="EU334">
        <v>0</v>
      </c>
      <c r="EV334">
        <v>0</v>
      </c>
      <c r="EW334">
        <v>0</v>
      </c>
      <c r="EX334">
        <v>0</v>
      </c>
      <c r="EZ334">
        <v>5</v>
      </c>
      <c r="FC334">
        <v>1</v>
      </c>
      <c r="FD334">
        <v>18</v>
      </c>
      <c r="FF334">
        <v>1210</v>
      </c>
      <c r="FQ334">
        <v>0</v>
      </c>
      <c r="FR334">
        <f t="shared" si="302"/>
        <v>0</v>
      </c>
      <c r="FS334">
        <v>0</v>
      </c>
      <c r="FX334">
        <v>112</v>
      </c>
      <c r="FY334">
        <v>70</v>
      </c>
      <c r="GA334" t="s">
        <v>380</v>
      </c>
      <c r="GD334">
        <v>0</v>
      </c>
      <c r="GF334">
        <v>1594868299</v>
      </c>
      <c r="GG334">
        <v>2</v>
      </c>
      <c r="GH334">
        <v>3</v>
      </c>
      <c r="GI334">
        <v>-2</v>
      </c>
      <c r="GJ334">
        <v>0</v>
      </c>
      <c r="GK334">
        <f>ROUND(R334*(R12)/100,2)</f>
        <v>0</v>
      </c>
      <c r="GL334">
        <f t="shared" si="303"/>
        <v>0</v>
      </c>
      <c r="GM334">
        <f t="shared" si="304"/>
        <v>635760.4</v>
      </c>
      <c r="GN334">
        <f t="shared" si="305"/>
        <v>0</v>
      </c>
      <c r="GO334">
        <f t="shared" si="306"/>
        <v>635760.4</v>
      </c>
      <c r="GP334">
        <f t="shared" si="307"/>
        <v>0</v>
      </c>
      <c r="GT334">
        <v>0</v>
      </c>
      <c r="GU334">
        <v>1</v>
      </c>
      <c r="GV334">
        <v>0</v>
      </c>
      <c r="GW334">
        <v>0</v>
      </c>
      <c r="GX334">
        <f t="shared" si="308"/>
        <v>0</v>
      </c>
    </row>
    <row r="336" spans="1:118" ht="12.75">
      <c r="A336" s="2">
        <v>51</v>
      </c>
      <c r="B336" s="2">
        <f>B321</f>
        <v>1</v>
      </c>
      <c r="C336" s="2">
        <f>A321</f>
        <v>5</v>
      </c>
      <c r="D336" s="2">
        <f>ROW(A321)</f>
        <v>321</v>
      </c>
      <c r="E336" s="2"/>
      <c r="F336" s="2" t="str">
        <f>IF(F321&lt;&gt;"",F321,"")</f>
        <v>Новый подраздел</v>
      </c>
      <c r="G336" s="2" t="str">
        <f>IF(G321&lt;&gt;"",G321,"")</f>
        <v>КЛ-20 кВ по кабельному коллектору  ПК0 - ПК73</v>
      </c>
      <c r="H336" s="2"/>
      <c r="I336" s="2"/>
      <c r="J336" s="2"/>
      <c r="K336" s="2"/>
      <c r="L336" s="2"/>
      <c r="M336" s="2"/>
      <c r="N336" s="2"/>
      <c r="O336" s="2">
        <f aca="true" t="shared" si="309" ref="O336:T336">ROUND(AB336,2)</f>
        <v>4443772.33</v>
      </c>
      <c r="P336" s="2">
        <f t="shared" si="309"/>
        <v>3577097.96</v>
      </c>
      <c r="Q336" s="2">
        <f t="shared" si="309"/>
        <v>390766.62</v>
      </c>
      <c r="R336" s="2">
        <f t="shared" si="309"/>
        <v>153623.26</v>
      </c>
      <c r="S336" s="2">
        <f t="shared" si="309"/>
        <v>475907.75</v>
      </c>
      <c r="T336" s="2">
        <f t="shared" si="309"/>
        <v>0</v>
      </c>
      <c r="U336" s="2">
        <f>AH336</f>
        <v>1888.1640129599996</v>
      </c>
      <c r="V336" s="2">
        <f>AI336</f>
        <v>0</v>
      </c>
      <c r="W336" s="2">
        <f>ROUND(AJ336,2)</f>
        <v>0</v>
      </c>
      <c r="X336" s="2">
        <f>ROUND(AK336,2)</f>
        <v>428316.98</v>
      </c>
      <c r="Y336" s="2">
        <f>ROUND(AL336,2)</f>
        <v>204640.34</v>
      </c>
      <c r="Z336" s="2"/>
      <c r="AA336" s="2"/>
      <c r="AB336" s="2">
        <f>ROUND(SUMIF(AA325:AA334,"=34388368",O325:O334),2)</f>
        <v>4443772.33</v>
      </c>
      <c r="AC336" s="2">
        <f>ROUND(SUMIF(AA325:AA334,"=34388368",P325:P334),2)</f>
        <v>3577097.96</v>
      </c>
      <c r="AD336" s="2">
        <f>ROUND(SUMIF(AA325:AA334,"=34388368",Q325:Q334),2)</f>
        <v>390766.62</v>
      </c>
      <c r="AE336" s="2">
        <f>ROUND(SUMIF(AA325:AA334,"=34388368",R325:R334),2)</f>
        <v>153623.26</v>
      </c>
      <c r="AF336" s="2">
        <f>ROUND(SUMIF(AA325:AA334,"=34388368",S325:S334),2)</f>
        <v>475907.75</v>
      </c>
      <c r="AG336" s="2">
        <f>ROUND(SUMIF(AA325:AA334,"=34388368",T325:T334),2)</f>
        <v>0</v>
      </c>
      <c r="AH336" s="2">
        <f>SUMIF(AA325:AA334,"=34388368",U325:U334)</f>
        <v>1888.1640129599996</v>
      </c>
      <c r="AI336" s="2">
        <f>SUMIF(AA325:AA334,"=34388368",V325:V334)</f>
        <v>0</v>
      </c>
      <c r="AJ336" s="2">
        <f>ROUND(SUMIF(AA325:AA334,"=34388368",W325:W334),2)</f>
        <v>0</v>
      </c>
      <c r="AK336" s="2">
        <f>ROUND(SUMIF(AA325:AA334,"=34388368",X325:X334),2)</f>
        <v>428316.98</v>
      </c>
      <c r="AL336" s="2">
        <f>ROUND(SUMIF(AA325:AA334,"=34388368",Y325:Y334),2)</f>
        <v>204640.34</v>
      </c>
      <c r="AM336" s="2"/>
      <c r="AN336" s="2"/>
      <c r="AO336" s="2">
        <f aca="true" t="shared" si="310" ref="AO336:AZ336">ROUND(BB336,2)</f>
        <v>0</v>
      </c>
      <c r="AP336" s="2">
        <f t="shared" si="310"/>
        <v>0</v>
      </c>
      <c r="AQ336" s="2">
        <f t="shared" si="310"/>
        <v>0</v>
      </c>
      <c r="AR336" s="2">
        <f t="shared" si="310"/>
        <v>5333280.49</v>
      </c>
      <c r="AS336" s="2">
        <f t="shared" si="310"/>
        <v>2624701.51</v>
      </c>
      <c r="AT336" s="2">
        <f t="shared" si="310"/>
        <v>2708578.98</v>
      </c>
      <c r="AU336" s="2">
        <f t="shared" si="310"/>
        <v>0</v>
      </c>
      <c r="AV336" s="2">
        <f t="shared" si="310"/>
        <v>3577097.96</v>
      </c>
      <c r="AW336" s="2">
        <f t="shared" si="310"/>
        <v>3577097.96</v>
      </c>
      <c r="AX336" s="2">
        <f t="shared" si="310"/>
        <v>0</v>
      </c>
      <c r="AY336" s="2">
        <f t="shared" si="310"/>
        <v>3577097.96</v>
      </c>
      <c r="AZ336" s="2">
        <f t="shared" si="310"/>
        <v>0</v>
      </c>
      <c r="BA336" s="2"/>
      <c r="BB336" s="2">
        <f>ROUND(SUMIF(AA325:AA334,"=34388368",FQ325:FQ334),2)</f>
        <v>0</v>
      </c>
      <c r="BC336" s="2">
        <f>ROUND(SUMIF(AA325:AA334,"=34388368",FR325:FR334),2)</f>
        <v>0</v>
      </c>
      <c r="BD336" s="2">
        <f>ROUND(SUMIF(AA325:AA334,"=34388368",GL325:GL334),2)</f>
        <v>0</v>
      </c>
      <c r="BE336" s="2">
        <f>ROUND(SUMIF(AA325:AA334,"=34388368",GM325:GM334),2)</f>
        <v>5333280.49</v>
      </c>
      <c r="BF336" s="2">
        <f>ROUND(SUMIF(AA325:AA334,"=34388368",GN325:GN334),2)</f>
        <v>2624701.51</v>
      </c>
      <c r="BG336" s="2">
        <f>ROUND(SUMIF(AA325:AA334,"=34388368",GO325:GO334),2)</f>
        <v>2708578.98</v>
      </c>
      <c r="BH336" s="2">
        <f>ROUND(SUMIF(AA325:AA334,"=34388368",GP325:GP334),2)</f>
        <v>0</v>
      </c>
      <c r="BI336" s="2">
        <f>AC336-BB336</f>
        <v>3577097.96</v>
      </c>
      <c r="BJ336" s="2">
        <f>AC336-BC336</f>
        <v>3577097.96</v>
      </c>
      <c r="BK336" s="2">
        <f>BB336-BD336</f>
        <v>0</v>
      </c>
      <c r="BL336" s="2">
        <f>AC336-BB336-BC336+BD336</f>
        <v>3577097.96</v>
      </c>
      <c r="BM336" s="2">
        <f>BC336-BD336</f>
        <v>0</v>
      </c>
      <c r="BN336" s="2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>
        <v>0</v>
      </c>
    </row>
    <row r="338" spans="1:16" ht="12.75">
      <c r="A338" s="4">
        <v>50</v>
      </c>
      <c r="B338" s="4">
        <v>0</v>
      </c>
      <c r="C338" s="4">
        <v>0</v>
      </c>
      <c r="D338" s="4">
        <v>1</v>
      </c>
      <c r="E338" s="4">
        <v>201</v>
      </c>
      <c r="F338" s="4">
        <f>ROUND(Source!O336,O338)</f>
        <v>4443772.33</v>
      </c>
      <c r="G338" s="4" t="s">
        <v>97</v>
      </c>
      <c r="H338" s="4" t="s">
        <v>98</v>
      </c>
      <c r="I338" s="4"/>
      <c r="J338" s="4"/>
      <c r="K338" s="4">
        <v>201</v>
      </c>
      <c r="L338" s="4">
        <v>1</v>
      </c>
      <c r="M338" s="4">
        <v>3</v>
      </c>
      <c r="N338" s="4" t="s">
        <v>6</v>
      </c>
      <c r="O338" s="4">
        <v>2</v>
      </c>
      <c r="P338" s="4"/>
    </row>
    <row r="339" spans="1:16" ht="12.75">
      <c r="A339" s="4">
        <v>50</v>
      </c>
      <c r="B339" s="4">
        <v>0</v>
      </c>
      <c r="C339" s="4">
        <v>0</v>
      </c>
      <c r="D339" s="4">
        <v>1</v>
      </c>
      <c r="E339" s="4">
        <v>202</v>
      </c>
      <c r="F339" s="4">
        <f>ROUND(Source!P336,O339)</f>
        <v>3577097.96</v>
      </c>
      <c r="G339" s="4" t="s">
        <v>99</v>
      </c>
      <c r="H339" s="4" t="s">
        <v>100</v>
      </c>
      <c r="I339" s="4"/>
      <c r="J339" s="4"/>
      <c r="K339" s="4">
        <v>202</v>
      </c>
      <c r="L339" s="4">
        <v>2</v>
      </c>
      <c r="M339" s="4">
        <v>3</v>
      </c>
      <c r="N339" s="4" t="s">
        <v>6</v>
      </c>
      <c r="O339" s="4">
        <v>2</v>
      </c>
      <c r="P339" s="4"/>
    </row>
    <row r="340" spans="1:16" ht="12.75">
      <c r="A340" s="4">
        <v>50</v>
      </c>
      <c r="B340" s="4">
        <v>0</v>
      </c>
      <c r="C340" s="4">
        <v>0</v>
      </c>
      <c r="D340" s="4">
        <v>1</v>
      </c>
      <c r="E340" s="4">
        <v>222</v>
      </c>
      <c r="F340" s="4">
        <f>ROUND(Source!AO336,O340)</f>
        <v>0</v>
      </c>
      <c r="G340" s="4" t="s">
        <v>101</v>
      </c>
      <c r="H340" s="4" t="s">
        <v>102</v>
      </c>
      <c r="I340" s="4"/>
      <c r="J340" s="4"/>
      <c r="K340" s="4">
        <v>222</v>
      </c>
      <c r="L340" s="4">
        <v>3</v>
      </c>
      <c r="M340" s="4">
        <v>3</v>
      </c>
      <c r="N340" s="4" t="s">
        <v>6</v>
      </c>
      <c r="O340" s="4">
        <v>2</v>
      </c>
      <c r="P340" s="4"/>
    </row>
    <row r="341" spans="1:16" ht="12.75">
      <c r="A341" s="4">
        <v>50</v>
      </c>
      <c r="B341" s="4">
        <v>0</v>
      </c>
      <c r="C341" s="4">
        <v>0</v>
      </c>
      <c r="D341" s="4">
        <v>1</v>
      </c>
      <c r="E341" s="4">
        <v>225</v>
      </c>
      <c r="F341" s="4">
        <f>ROUND(Source!AV336,O341)</f>
        <v>3577097.96</v>
      </c>
      <c r="G341" s="4" t="s">
        <v>103</v>
      </c>
      <c r="H341" s="4" t="s">
        <v>104</v>
      </c>
      <c r="I341" s="4"/>
      <c r="J341" s="4"/>
      <c r="K341" s="4">
        <v>225</v>
      </c>
      <c r="L341" s="4">
        <v>4</v>
      </c>
      <c r="M341" s="4">
        <v>3</v>
      </c>
      <c r="N341" s="4" t="s">
        <v>6</v>
      </c>
      <c r="O341" s="4">
        <v>2</v>
      </c>
      <c r="P341" s="4"/>
    </row>
    <row r="342" spans="1:16" ht="12.75">
      <c r="A342" s="4">
        <v>50</v>
      </c>
      <c r="B342" s="4">
        <v>0</v>
      </c>
      <c r="C342" s="4">
        <v>0</v>
      </c>
      <c r="D342" s="4">
        <v>1</v>
      </c>
      <c r="E342" s="4">
        <v>226</v>
      </c>
      <c r="F342" s="4">
        <f>ROUND(Source!AW336,O342)</f>
        <v>3577097.96</v>
      </c>
      <c r="G342" s="4" t="s">
        <v>105</v>
      </c>
      <c r="H342" s="4" t="s">
        <v>106</v>
      </c>
      <c r="I342" s="4"/>
      <c r="J342" s="4"/>
      <c r="K342" s="4">
        <v>226</v>
      </c>
      <c r="L342" s="4">
        <v>5</v>
      </c>
      <c r="M342" s="4">
        <v>3</v>
      </c>
      <c r="N342" s="4" t="s">
        <v>6</v>
      </c>
      <c r="O342" s="4">
        <v>2</v>
      </c>
      <c r="P342" s="4"/>
    </row>
    <row r="343" spans="1:16" ht="12.75">
      <c r="A343" s="4">
        <v>50</v>
      </c>
      <c r="B343" s="4">
        <v>0</v>
      </c>
      <c r="C343" s="4">
        <v>0</v>
      </c>
      <c r="D343" s="4">
        <v>1</v>
      </c>
      <c r="E343" s="4">
        <v>227</v>
      </c>
      <c r="F343" s="4">
        <f>ROUND(Source!AX336,O343)</f>
        <v>0</v>
      </c>
      <c r="G343" s="4" t="s">
        <v>107</v>
      </c>
      <c r="H343" s="4" t="s">
        <v>108</v>
      </c>
      <c r="I343" s="4"/>
      <c r="J343" s="4"/>
      <c r="K343" s="4">
        <v>227</v>
      </c>
      <c r="L343" s="4">
        <v>6</v>
      </c>
      <c r="M343" s="4">
        <v>3</v>
      </c>
      <c r="N343" s="4" t="s">
        <v>6</v>
      </c>
      <c r="O343" s="4">
        <v>2</v>
      </c>
      <c r="P343" s="4"/>
    </row>
    <row r="344" spans="1:16" ht="12.75">
      <c r="A344" s="4">
        <v>50</v>
      </c>
      <c r="B344" s="4">
        <v>0</v>
      </c>
      <c r="C344" s="4">
        <v>0</v>
      </c>
      <c r="D344" s="4">
        <v>1</v>
      </c>
      <c r="E344" s="4">
        <v>228</v>
      </c>
      <c r="F344" s="4">
        <f>ROUND(Source!AY336,O344)</f>
        <v>3577097.96</v>
      </c>
      <c r="G344" s="4" t="s">
        <v>109</v>
      </c>
      <c r="H344" s="4" t="s">
        <v>110</v>
      </c>
      <c r="I344" s="4"/>
      <c r="J344" s="4"/>
      <c r="K344" s="4">
        <v>228</v>
      </c>
      <c r="L344" s="4">
        <v>7</v>
      </c>
      <c r="M344" s="4">
        <v>3</v>
      </c>
      <c r="N344" s="4" t="s">
        <v>6</v>
      </c>
      <c r="O344" s="4">
        <v>2</v>
      </c>
      <c r="P344" s="4"/>
    </row>
    <row r="345" spans="1:16" ht="12.75">
      <c r="A345" s="4">
        <v>50</v>
      </c>
      <c r="B345" s="4">
        <v>0</v>
      </c>
      <c r="C345" s="4">
        <v>0</v>
      </c>
      <c r="D345" s="4">
        <v>1</v>
      </c>
      <c r="E345" s="4">
        <v>216</v>
      </c>
      <c r="F345" s="4">
        <f>ROUND(Source!AP336,O345)</f>
        <v>0</v>
      </c>
      <c r="G345" s="4" t="s">
        <v>111</v>
      </c>
      <c r="H345" s="4" t="s">
        <v>112</v>
      </c>
      <c r="I345" s="4"/>
      <c r="J345" s="4"/>
      <c r="K345" s="4">
        <v>216</v>
      </c>
      <c r="L345" s="4">
        <v>8</v>
      </c>
      <c r="M345" s="4">
        <v>3</v>
      </c>
      <c r="N345" s="4" t="s">
        <v>6</v>
      </c>
      <c r="O345" s="4">
        <v>2</v>
      </c>
      <c r="P345" s="4"/>
    </row>
    <row r="346" spans="1:16" ht="12.75">
      <c r="A346" s="4">
        <v>50</v>
      </c>
      <c r="B346" s="4">
        <v>0</v>
      </c>
      <c r="C346" s="4">
        <v>0</v>
      </c>
      <c r="D346" s="4">
        <v>1</v>
      </c>
      <c r="E346" s="4">
        <v>223</v>
      </c>
      <c r="F346" s="4">
        <f>ROUND(Source!AQ336,O346)</f>
        <v>0</v>
      </c>
      <c r="G346" s="4" t="s">
        <v>113</v>
      </c>
      <c r="H346" s="4" t="s">
        <v>114</v>
      </c>
      <c r="I346" s="4"/>
      <c r="J346" s="4"/>
      <c r="K346" s="4">
        <v>223</v>
      </c>
      <c r="L346" s="4">
        <v>9</v>
      </c>
      <c r="M346" s="4">
        <v>3</v>
      </c>
      <c r="N346" s="4" t="s">
        <v>6</v>
      </c>
      <c r="O346" s="4">
        <v>2</v>
      </c>
      <c r="P346" s="4"/>
    </row>
    <row r="347" spans="1:16" ht="12.75">
      <c r="A347" s="4">
        <v>50</v>
      </c>
      <c r="B347" s="4">
        <v>0</v>
      </c>
      <c r="C347" s="4">
        <v>0</v>
      </c>
      <c r="D347" s="4">
        <v>1</v>
      </c>
      <c r="E347" s="4">
        <v>229</v>
      </c>
      <c r="F347" s="4">
        <f>ROUND(Source!AZ336,O347)</f>
        <v>0</v>
      </c>
      <c r="G347" s="4" t="s">
        <v>115</v>
      </c>
      <c r="H347" s="4" t="s">
        <v>116</v>
      </c>
      <c r="I347" s="4"/>
      <c r="J347" s="4"/>
      <c r="K347" s="4">
        <v>229</v>
      </c>
      <c r="L347" s="4">
        <v>10</v>
      </c>
      <c r="M347" s="4">
        <v>3</v>
      </c>
      <c r="N347" s="4" t="s">
        <v>6</v>
      </c>
      <c r="O347" s="4">
        <v>2</v>
      </c>
      <c r="P347" s="4"/>
    </row>
    <row r="348" spans="1:16" ht="12.75">
      <c r="A348" s="4">
        <v>50</v>
      </c>
      <c r="B348" s="4">
        <v>0</v>
      </c>
      <c r="C348" s="4">
        <v>0</v>
      </c>
      <c r="D348" s="4">
        <v>1</v>
      </c>
      <c r="E348" s="4">
        <v>203</v>
      </c>
      <c r="F348" s="4">
        <f>ROUND(Source!Q336,O348)</f>
        <v>390766.62</v>
      </c>
      <c r="G348" s="4" t="s">
        <v>117</v>
      </c>
      <c r="H348" s="4" t="s">
        <v>118</v>
      </c>
      <c r="I348" s="4"/>
      <c r="J348" s="4"/>
      <c r="K348" s="4">
        <v>203</v>
      </c>
      <c r="L348" s="4">
        <v>11</v>
      </c>
      <c r="M348" s="4">
        <v>3</v>
      </c>
      <c r="N348" s="4" t="s">
        <v>6</v>
      </c>
      <c r="O348" s="4">
        <v>2</v>
      </c>
      <c r="P348" s="4"/>
    </row>
    <row r="349" spans="1:16" ht="12.75">
      <c r="A349" s="4">
        <v>50</v>
      </c>
      <c r="B349" s="4">
        <v>0</v>
      </c>
      <c r="C349" s="4">
        <v>0</v>
      </c>
      <c r="D349" s="4">
        <v>1</v>
      </c>
      <c r="E349" s="4">
        <v>204</v>
      </c>
      <c r="F349" s="4">
        <f>ROUND(Source!R336,O349)</f>
        <v>153623.26</v>
      </c>
      <c r="G349" s="4" t="s">
        <v>119</v>
      </c>
      <c r="H349" s="4" t="s">
        <v>120</v>
      </c>
      <c r="I349" s="4"/>
      <c r="J349" s="4"/>
      <c r="K349" s="4">
        <v>204</v>
      </c>
      <c r="L349" s="4">
        <v>12</v>
      </c>
      <c r="M349" s="4">
        <v>3</v>
      </c>
      <c r="N349" s="4" t="s">
        <v>6</v>
      </c>
      <c r="O349" s="4">
        <v>2</v>
      </c>
      <c r="P349" s="4"/>
    </row>
    <row r="350" spans="1:16" ht="12.75">
      <c r="A350" s="4">
        <v>50</v>
      </c>
      <c r="B350" s="4">
        <v>0</v>
      </c>
      <c r="C350" s="4">
        <v>0</v>
      </c>
      <c r="D350" s="4">
        <v>1</v>
      </c>
      <c r="E350" s="4">
        <v>205</v>
      </c>
      <c r="F350" s="4">
        <f>ROUND(Source!S336,O350)</f>
        <v>475907.75</v>
      </c>
      <c r="G350" s="4" t="s">
        <v>121</v>
      </c>
      <c r="H350" s="4" t="s">
        <v>122</v>
      </c>
      <c r="I350" s="4"/>
      <c r="J350" s="4"/>
      <c r="K350" s="4">
        <v>205</v>
      </c>
      <c r="L350" s="4">
        <v>13</v>
      </c>
      <c r="M350" s="4">
        <v>3</v>
      </c>
      <c r="N350" s="4" t="s">
        <v>6</v>
      </c>
      <c r="O350" s="4">
        <v>2</v>
      </c>
      <c r="P350" s="4"/>
    </row>
    <row r="351" spans="1:16" ht="12.75">
      <c r="A351" s="4">
        <v>50</v>
      </c>
      <c r="B351" s="4">
        <v>0</v>
      </c>
      <c r="C351" s="4">
        <v>0</v>
      </c>
      <c r="D351" s="4">
        <v>1</v>
      </c>
      <c r="E351" s="4">
        <v>214</v>
      </c>
      <c r="F351" s="4">
        <f>ROUND(Source!AS336,O351)</f>
        <v>2624701.51</v>
      </c>
      <c r="G351" s="4" t="s">
        <v>123</v>
      </c>
      <c r="H351" s="4" t="s">
        <v>124</v>
      </c>
      <c r="I351" s="4"/>
      <c r="J351" s="4"/>
      <c r="K351" s="4">
        <v>214</v>
      </c>
      <c r="L351" s="4">
        <v>14</v>
      </c>
      <c r="M351" s="4">
        <v>3</v>
      </c>
      <c r="N351" s="4" t="s">
        <v>6</v>
      </c>
      <c r="O351" s="4">
        <v>2</v>
      </c>
      <c r="P351" s="4"/>
    </row>
    <row r="352" spans="1:16" ht="12.75">
      <c r="A352" s="4">
        <v>50</v>
      </c>
      <c r="B352" s="4">
        <v>0</v>
      </c>
      <c r="C352" s="4">
        <v>0</v>
      </c>
      <c r="D352" s="4">
        <v>1</v>
      </c>
      <c r="E352" s="4">
        <v>215</v>
      </c>
      <c r="F352" s="4">
        <f>ROUND(Source!AT336,O352)</f>
        <v>2708578.98</v>
      </c>
      <c r="G352" s="4" t="s">
        <v>125</v>
      </c>
      <c r="H352" s="4" t="s">
        <v>126</v>
      </c>
      <c r="I352" s="4"/>
      <c r="J352" s="4"/>
      <c r="K352" s="4">
        <v>215</v>
      </c>
      <c r="L352" s="4">
        <v>15</v>
      </c>
      <c r="M352" s="4">
        <v>3</v>
      </c>
      <c r="N352" s="4" t="s">
        <v>6</v>
      </c>
      <c r="O352" s="4">
        <v>2</v>
      </c>
      <c r="P352" s="4"/>
    </row>
    <row r="353" spans="1:16" ht="12.75">
      <c r="A353" s="4">
        <v>50</v>
      </c>
      <c r="B353" s="4">
        <v>0</v>
      </c>
      <c r="C353" s="4">
        <v>0</v>
      </c>
      <c r="D353" s="4">
        <v>1</v>
      </c>
      <c r="E353" s="4">
        <v>217</v>
      </c>
      <c r="F353" s="4">
        <f>ROUND(Source!AU336,O353)</f>
        <v>0</v>
      </c>
      <c r="G353" s="4" t="s">
        <v>127</v>
      </c>
      <c r="H353" s="4" t="s">
        <v>128</v>
      </c>
      <c r="I353" s="4"/>
      <c r="J353" s="4"/>
      <c r="K353" s="4">
        <v>217</v>
      </c>
      <c r="L353" s="4">
        <v>16</v>
      </c>
      <c r="M353" s="4">
        <v>3</v>
      </c>
      <c r="N353" s="4" t="s">
        <v>6</v>
      </c>
      <c r="O353" s="4">
        <v>2</v>
      </c>
      <c r="P353" s="4"/>
    </row>
    <row r="354" spans="1:16" ht="12.75">
      <c r="A354" s="4">
        <v>50</v>
      </c>
      <c r="B354" s="4">
        <v>0</v>
      </c>
      <c r="C354" s="4">
        <v>0</v>
      </c>
      <c r="D354" s="4">
        <v>1</v>
      </c>
      <c r="E354" s="4">
        <v>206</v>
      </c>
      <c r="F354" s="4">
        <f>ROUND(Source!T336,O354)</f>
        <v>0</v>
      </c>
      <c r="G354" s="4" t="s">
        <v>129</v>
      </c>
      <c r="H354" s="4" t="s">
        <v>130</v>
      </c>
      <c r="I354" s="4"/>
      <c r="J354" s="4"/>
      <c r="K354" s="4">
        <v>206</v>
      </c>
      <c r="L354" s="4">
        <v>17</v>
      </c>
      <c r="M354" s="4">
        <v>3</v>
      </c>
      <c r="N354" s="4" t="s">
        <v>6</v>
      </c>
      <c r="O354" s="4">
        <v>2</v>
      </c>
      <c r="P354" s="4"/>
    </row>
    <row r="355" spans="1:16" ht="12.75">
      <c r="A355" s="4">
        <v>50</v>
      </c>
      <c r="B355" s="4">
        <v>0</v>
      </c>
      <c r="C355" s="4">
        <v>0</v>
      </c>
      <c r="D355" s="4">
        <v>1</v>
      </c>
      <c r="E355" s="4">
        <v>207</v>
      </c>
      <c r="F355" s="4">
        <f>Source!U336</f>
        <v>1888.1640129599996</v>
      </c>
      <c r="G355" s="4" t="s">
        <v>131</v>
      </c>
      <c r="H355" s="4" t="s">
        <v>132</v>
      </c>
      <c r="I355" s="4"/>
      <c r="J355" s="4"/>
      <c r="K355" s="4">
        <v>207</v>
      </c>
      <c r="L355" s="4">
        <v>18</v>
      </c>
      <c r="M355" s="4">
        <v>3</v>
      </c>
      <c r="N355" s="4" t="s">
        <v>6</v>
      </c>
      <c r="O355" s="4">
        <v>-1</v>
      </c>
      <c r="P355" s="4"/>
    </row>
    <row r="356" spans="1:16" ht="12.75">
      <c r="A356" s="4">
        <v>50</v>
      </c>
      <c r="B356" s="4">
        <v>0</v>
      </c>
      <c r="C356" s="4">
        <v>0</v>
      </c>
      <c r="D356" s="4">
        <v>1</v>
      </c>
      <c r="E356" s="4">
        <v>208</v>
      </c>
      <c r="F356" s="4">
        <f>Source!V336</f>
        <v>0</v>
      </c>
      <c r="G356" s="4" t="s">
        <v>133</v>
      </c>
      <c r="H356" s="4" t="s">
        <v>134</v>
      </c>
      <c r="I356" s="4"/>
      <c r="J356" s="4"/>
      <c r="K356" s="4">
        <v>208</v>
      </c>
      <c r="L356" s="4">
        <v>19</v>
      </c>
      <c r="M356" s="4">
        <v>3</v>
      </c>
      <c r="N356" s="4" t="s">
        <v>6</v>
      </c>
      <c r="O356" s="4">
        <v>-1</v>
      </c>
      <c r="P356" s="4"/>
    </row>
    <row r="357" spans="1:16" ht="12.75">
      <c r="A357" s="4">
        <v>50</v>
      </c>
      <c r="B357" s="4">
        <v>0</v>
      </c>
      <c r="C357" s="4">
        <v>0</v>
      </c>
      <c r="D357" s="4">
        <v>1</v>
      </c>
      <c r="E357" s="4">
        <v>209</v>
      </c>
      <c r="F357" s="4">
        <f>ROUND(Source!W336,O357)</f>
        <v>0</v>
      </c>
      <c r="G357" s="4" t="s">
        <v>135</v>
      </c>
      <c r="H357" s="4" t="s">
        <v>136</v>
      </c>
      <c r="I357" s="4"/>
      <c r="J357" s="4"/>
      <c r="K357" s="4">
        <v>209</v>
      </c>
      <c r="L357" s="4">
        <v>20</v>
      </c>
      <c r="M357" s="4">
        <v>3</v>
      </c>
      <c r="N357" s="4" t="s">
        <v>6</v>
      </c>
      <c r="O357" s="4">
        <v>2</v>
      </c>
      <c r="P357" s="4"/>
    </row>
    <row r="358" spans="1:16" ht="12.75">
      <c r="A358" s="4">
        <v>50</v>
      </c>
      <c r="B358" s="4">
        <v>0</v>
      </c>
      <c r="C358" s="4">
        <v>0</v>
      </c>
      <c r="D358" s="4">
        <v>1</v>
      </c>
      <c r="E358" s="4">
        <v>210</v>
      </c>
      <c r="F358" s="4">
        <f>ROUND(Source!X336,O358)</f>
        <v>428316.98</v>
      </c>
      <c r="G358" s="4" t="s">
        <v>137</v>
      </c>
      <c r="H358" s="4" t="s">
        <v>138</v>
      </c>
      <c r="I358" s="4"/>
      <c r="J358" s="4"/>
      <c r="K358" s="4">
        <v>210</v>
      </c>
      <c r="L358" s="4">
        <v>21</v>
      </c>
      <c r="M358" s="4">
        <v>3</v>
      </c>
      <c r="N358" s="4" t="s">
        <v>6</v>
      </c>
      <c r="O358" s="4">
        <v>2</v>
      </c>
      <c r="P358" s="4"/>
    </row>
    <row r="359" spans="1:16" ht="12.75">
      <c r="A359" s="4">
        <v>50</v>
      </c>
      <c r="B359" s="4">
        <v>0</v>
      </c>
      <c r="C359" s="4">
        <v>0</v>
      </c>
      <c r="D359" s="4">
        <v>1</v>
      </c>
      <c r="E359" s="4">
        <v>211</v>
      </c>
      <c r="F359" s="4">
        <f>ROUND(Source!Y336,O359)</f>
        <v>204640.34</v>
      </c>
      <c r="G359" s="4" t="s">
        <v>139</v>
      </c>
      <c r="H359" s="4" t="s">
        <v>140</v>
      </c>
      <c r="I359" s="4"/>
      <c r="J359" s="4"/>
      <c r="K359" s="4">
        <v>211</v>
      </c>
      <c r="L359" s="4">
        <v>22</v>
      </c>
      <c r="M359" s="4">
        <v>3</v>
      </c>
      <c r="N359" s="4" t="s">
        <v>6</v>
      </c>
      <c r="O359" s="4">
        <v>2</v>
      </c>
      <c r="P359" s="4"/>
    </row>
    <row r="360" spans="1:16" ht="12.75">
      <c r="A360" s="4">
        <v>50</v>
      </c>
      <c r="B360" s="4">
        <v>0</v>
      </c>
      <c r="C360" s="4">
        <v>0</v>
      </c>
      <c r="D360" s="4">
        <v>1</v>
      </c>
      <c r="E360" s="4">
        <v>224</v>
      </c>
      <c r="F360" s="4">
        <f>ROUND(Source!AR336,O360)</f>
        <v>5333280.49</v>
      </c>
      <c r="G360" s="4" t="s">
        <v>141</v>
      </c>
      <c r="H360" s="4" t="s">
        <v>142</v>
      </c>
      <c r="I360" s="4"/>
      <c r="J360" s="4"/>
      <c r="K360" s="4">
        <v>224</v>
      </c>
      <c r="L360" s="4">
        <v>23</v>
      </c>
      <c r="M360" s="4">
        <v>3</v>
      </c>
      <c r="N360" s="4" t="s">
        <v>6</v>
      </c>
      <c r="O360" s="4">
        <v>2</v>
      </c>
      <c r="P360" s="4"/>
    </row>
    <row r="362" spans="1:118" ht="12.75">
      <c r="A362" s="2">
        <v>51</v>
      </c>
      <c r="B362" s="2">
        <f>B24</f>
        <v>1</v>
      </c>
      <c r="C362" s="2">
        <f>A24</f>
        <v>4</v>
      </c>
      <c r="D362" s="2">
        <f>ROW(A24)</f>
        <v>24</v>
      </c>
      <c r="E362" s="2"/>
      <c r="F362" s="2" t="str">
        <f>IF(F24&lt;&gt;"",F24,"")</f>
        <v>Новый раздел</v>
      </c>
      <c r="G362" s="2" t="str">
        <f>IF(G24&lt;&gt;"",G24,"")</f>
        <v>ПКЛ-20 кВ от ПС "Никулино"</v>
      </c>
      <c r="H362" s="2"/>
      <c r="I362" s="2"/>
      <c r="J362" s="2"/>
      <c r="K362" s="2"/>
      <c r="L362" s="2"/>
      <c r="M362" s="2"/>
      <c r="N362" s="2"/>
      <c r="O362" s="2">
        <f aca="true" t="shared" si="311" ref="O362:T362">ROUND(O47+O90+O124+O169+O208+O252+O295+O336+AB362,2)</f>
        <v>36529216.99</v>
      </c>
      <c r="P362" s="2">
        <f t="shared" si="311"/>
        <v>24763443.95</v>
      </c>
      <c r="Q362" s="2">
        <f t="shared" si="311"/>
        <v>8466902.39</v>
      </c>
      <c r="R362" s="2">
        <f t="shared" si="311"/>
        <v>2584159.5</v>
      </c>
      <c r="S362" s="2">
        <f t="shared" si="311"/>
        <v>3298870.65</v>
      </c>
      <c r="T362" s="2">
        <f t="shared" si="311"/>
        <v>0</v>
      </c>
      <c r="U362" s="2">
        <f>U47+U90+U124+U169+U208+U252+U295+U336+AH362</f>
        <v>12910.409576475797</v>
      </c>
      <c r="V362" s="2">
        <f>V47+V90+V124+V169+V208+V252+V295+V336+AI362</f>
        <v>0</v>
      </c>
      <c r="W362" s="2">
        <f>ROUND(W47+W90+W124+W169+W208+W252+W295+W336+AJ362,2)</f>
        <v>0</v>
      </c>
      <c r="X362" s="2">
        <f>ROUND(X47+X90+X124+X169+X208+X252+X295+X336+AK362,2)</f>
        <v>3079246.07</v>
      </c>
      <c r="Y362" s="2">
        <f>ROUND(Y47+Y90+Y124+Y169+Y208+Y252+Y295+Y336+AL362,2)</f>
        <v>1607603.08</v>
      </c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>
        <f aca="true" t="shared" si="312" ref="AO362:AZ362">ROUND(AO47+AO90+AO124+AO169+AO208+AO252+AO295+AO336+BB362,2)</f>
        <v>0</v>
      </c>
      <c r="AP362" s="2">
        <f t="shared" si="312"/>
        <v>0</v>
      </c>
      <c r="AQ362" s="2">
        <f t="shared" si="312"/>
        <v>0</v>
      </c>
      <c r="AR362" s="2">
        <f t="shared" si="312"/>
        <v>45531612.49</v>
      </c>
      <c r="AS362" s="2">
        <f t="shared" si="312"/>
        <v>34525468.53</v>
      </c>
      <c r="AT362" s="2">
        <f t="shared" si="312"/>
        <v>10501660.8</v>
      </c>
      <c r="AU362" s="2">
        <f t="shared" si="312"/>
        <v>504483.16</v>
      </c>
      <c r="AV362" s="2">
        <f t="shared" si="312"/>
        <v>24763443.95</v>
      </c>
      <c r="AW362" s="2">
        <f t="shared" si="312"/>
        <v>24763443.95</v>
      </c>
      <c r="AX362" s="2">
        <f t="shared" si="312"/>
        <v>0</v>
      </c>
      <c r="AY362" s="2">
        <f t="shared" si="312"/>
        <v>24763443.95</v>
      </c>
      <c r="AZ362" s="2">
        <f t="shared" si="312"/>
        <v>0</v>
      </c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>
        <v>0</v>
      </c>
    </row>
    <row r="364" spans="1:16" ht="12.75">
      <c r="A364" s="4">
        <v>50</v>
      </c>
      <c r="B364" s="4">
        <v>0</v>
      </c>
      <c r="C364" s="4">
        <v>0</v>
      </c>
      <c r="D364" s="4">
        <v>1</v>
      </c>
      <c r="E364" s="4">
        <v>201</v>
      </c>
      <c r="F364" s="4">
        <f>ROUND(Source!O362,O364)</f>
        <v>36529216.99</v>
      </c>
      <c r="G364" s="4" t="s">
        <v>97</v>
      </c>
      <c r="H364" s="4" t="s">
        <v>98</v>
      </c>
      <c r="I364" s="4"/>
      <c r="J364" s="4"/>
      <c r="K364" s="4">
        <v>201</v>
      </c>
      <c r="L364" s="4">
        <v>1</v>
      </c>
      <c r="M364" s="4">
        <v>3</v>
      </c>
      <c r="N364" s="4" t="s">
        <v>6</v>
      </c>
      <c r="O364" s="4">
        <v>2</v>
      </c>
      <c r="P364" s="4"/>
    </row>
    <row r="365" spans="1:16" ht="12.75">
      <c r="A365" s="4">
        <v>50</v>
      </c>
      <c r="B365" s="4">
        <v>0</v>
      </c>
      <c r="C365" s="4">
        <v>0</v>
      </c>
      <c r="D365" s="4">
        <v>1</v>
      </c>
      <c r="E365" s="4">
        <v>202</v>
      </c>
      <c r="F365" s="4">
        <f>ROUND(Source!P362,O365)</f>
        <v>24763443.95</v>
      </c>
      <c r="G365" s="4" t="s">
        <v>99</v>
      </c>
      <c r="H365" s="4" t="s">
        <v>100</v>
      </c>
      <c r="I365" s="4"/>
      <c r="J365" s="4"/>
      <c r="K365" s="4">
        <v>202</v>
      </c>
      <c r="L365" s="4">
        <v>2</v>
      </c>
      <c r="M365" s="4">
        <v>3</v>
      </c>
      <c r="N365" s="4" t="s">
        <v>6</v>
      </c>
      <c r="O365" s="4">
        <v>2</v>
      </c>
      <c r="P365" s="4"/>
    </row>
    <row r="366" spans="1:16" ht="12.75">
      <c r="A366" s="4">
        <v>50</v>
      </c>
      <c r="B366" s="4">
        <v>0</v>
      </c>
      <c r="C366" s="4">
        <v>0</v>
      </c>
      <c r="D366" s="4">
        <v>1</v>
      </c>
      <c r="E366" s="4">
        <v>222</v>
      </c>
      <c r="F366" s="4">
        <f>ROUND(Source!AO362,O366)</f>
        <v>0</v>
      </c>
      <c r="G366" s="4" t="s">
        <v>101</v>
      </c>
      <c r="H366" s="4" t="s">
        <v>102</v>
      </c>
      <c r="I366" s="4"/>
      <c r="J366" s="4"/>
      <c r="K366" s="4">
        <v>222</v>
      </c>
      <c r="L366" s="4">
        <v>3</v>
      </c>
      <c r="M366" s="4">
        <v>3</v>
      </c>
      <c r="N366" s="4" t="s">
        <v>6</v>
      </c>
      <c r="O366" s="4">
        <v>2</v>
      </c>
      <c r="P366" s="4"/>
    </row>
    <row r="367" spans="1:16" ht="12.75">
      <c r="A367" s="4">
        <v>50</v>
      </c>
      <c r="B367" s="4">
        <v>0</v>
      </c>
      <c r="C367" s="4">
        <v>0</v>
      </c>
      <c r="D367" s="4">
        <v>1</v>
      </c>
      <c r="E367" s="4">
        <v>225</v>
      </c>
      <c r="F367" s="4">
        <f>ROUND(Source!AV362,O367)</f>
        <v>24763443.95</v>
      </c>
      <c r="G367" s="4" t="s">
        <v>103</v>
      </c>
      <c r="H367" s="4" t="s">
        <v>104</v>
      </c>
      <c r="I367" s="4"/>
      <c r="J367" s="4"/>
      <c r="K367" s="4">
        <v>225</v>
      </c>
      <c r="L367" s="4">
        <v>4</v>
      </c>
      <c r="M367" s="4">
        <v>3</v>
      </c>
      <c r="N367" s="4" t="s">
        <v>6</v>
      </c>
      <c r="O367" s="4">
        <v>2</v>
      </c>
      <c r="P367" s="4"/>
    </row>
    <row r="368" spans="1:16" ht="12.75">
      <c r="A368" s="4">
        <v>50</v>
      </c>
      <c r="B368" s="4">
        <v>0</v>
      </c>
      <c r="C368" s="4">
        <v>0</v>
      </c>
      <c r="D368" s="4">
        <v>1</v>
      </c>
      <c r="E368" s="4">
        <v>226</v>
      </c>
      <c r="F368" s="4">
        <f>ROUND(Source!AW362,O368)</f>
        <v>24763443.95</v>
      </c>
      <c r="G368" s="4" t="s">
        <v>105</v>
      </c>
      <c r="H368" s="4" t="s">
        <v>106</v>
      </c>
      <c r="I368" s="4"/>
      <c r="J368" s="4"/>
      <c r="K368" s="4">
        <v>226</v>
      </c>
      <c r="L368" s="4">
        <v>5</v>
      </c>
      <c r="M368" s="4">
        <v>3</v>
      </c>
      <c r="N368" s="4" t="s">
        <v>6</v>
      </c>
      <c r="O368" s="4">
        <v>2</v>
      </c>
      <c r="P368" s="4"/>
    </row>
    <row r="369" spans="1:16" ht="12.75">
      <c r="A369" s="4">
        <v>50</v>
      </c>
      <c r="B369" s="4">
        <v>0</v>
      </c>
      <c r="C369" s="4">
        <v>0</v>
      </c>
      <c r="D369" s="4">
        <v>1</v>
      </c>
      <c r="E369" s="4">
        <v>227</v>
      </c>
      <c r="F369" s="4">
        <f>ROUND(Source!AX362,O369)</f>
        <v>0</v>
      </c>
      <c r="G369" s="4" t="s">
        <v>107</v>
      </c>
      <c r="H369" s="4" t="s">
        <v>108</v>
      </c>
      <c r="I369" s="4"/>
      <c r="J369" s="4"/>
      <c r="K369" s="4">
        <v>227</v>
      </c>
      <c r="L369" s="4">
        <v>6</v>
      </c>
      <c r="M369" s="4">
        <v>3</v>
      </c>
      <c r="N369" s="4" t="s">
        <v>6</v>
      </c>
      <c r="O369" s="4">
        <v>2</v>
      </c>
      <c r="P369" s="4"/>
    </row>
    <row r="370" spans="1:16" ht="12.75">
      <c r="A370" s="4">
        <v>50</v>
      </c>
      <c r="B370" s="4">
        <v>0</v>
      </c>
      <c r="C370" s="4">
        <v>0</v>
      </c>
      <c r="D370" s="4">
        <v>1</v>
      </c>
      <c r="E370" s="4">
        <v>228</v>
      </c>
      <c r="F370" s="4">
        <f>ROUND(Source!AY362,O370)</f>
        <v>24763443.95</v>
      </c>
      <c r="G370" s="4" t="s">
        <v>109</v>
      </c>
      <c r="H370" s="4" t="s">
        <v>110</v>
      </c>
      <c r="I370" s="4"/>
      <c r="J370" s="4"/>
      <c r="K370" s="4">
        <v>228</v>
      </c>
      <c r="L370" s="4">
        <v>7</v>
      </c>
      <c r="M370" s="4">
        <v>3</v>
      </c>
      <c r="N370" s="4" t="s">
        <v>6</v>
      </c>
      <c r="O370" s="4">
        <v>2</v>
      </c>
      <c r="P370" s="4"/>
    </row>
    <row r="371" spans="1:16" ht="12.75">
      <c r="A371" s="4">
        <v>50</v>
      </c>
      <c r="B371" s="4">
        <v>0</v>
      </c>
      <c r="C371" s="4">
        <v>0</v>
      </c>
      <c r="D371" s="4">
        <v>1</v>
      </c>
      <c r="E371" s="4">
        <v>216</v>
      </c>
      <c r="F371" s="4">
        <f>ROUND(Source!AP362,O371)</f>
        <v>0</v>
      </c>
      <c r="G371" s="4" t="s">
        <v>111</v>
      </c>
      <c r="H371" s="4" t="s">
        <v>112</v>
      </c>
      <c r="I371" s="4"/>
      <c r="J371" s="4"/>
      <c r="K371" s="4">
        <v>216</v>
      </c>
      <c r="L371" s="4">
        <v>8</v>
      </c>
      <c r="M371" s="4">
        <v>3</v>
      </c>
      <c r="N371" s="4" t="s">
        <v>6</v>
      </c>
      <c r="O371" s="4">
        <v>2</v>
      </c>
      <c r="P371" s="4"/>
    </row>
    <row r="372" spans="1:16" ht="12.75">
      <c r="A372" s="4">
        <v>50</v>
      </c>
      <c r="B372" s="4">
        <v>0</v>
      </c>
      <c r="C372" s="4">
        <v>0</v>
      </c>
      <c r="D372" s="4">
        <v>1</v>
      </c>
      <c r="E372" s="4">
        <v>223</v>
      </c>
      <c r="F372" s="4">
        <f>ROUND(Source!AQ362,O372)</f>
        <v>0</v>
      </c>
      <c r="G372" s="4" t="s">
        <v>113</v>
      </c>
      <c r="H372" s="4" t="s">
        <v>114</v>
      </c>
      <c r="I372" s="4"/>
      <c r="J372" s="4"/>
      <c r="K372" s="4">
        <v>223</v>
      </c>
      <c r="L372" s="4">
        <v>9</v>
      </c>
      <c r="M372" s="4">
        <v>3</v>
      </c>
      <c r="N372" s="4" t="s">
        <v>6</v>
      </c>
      <c r="O372" s="4">
        <v>2</v>
      </c>
      <c r="P372" s="4"/>
    </row>
    <row r="373" spans="1:16" ht="12.75">
      <c r="A373" s="4">
        <v>50</v>
      </c>
      <c r="B373" s="4">
        <v>0</v>
      </c>
      <c r="C373" s="4">
        <v>0</v>
      </c>
      <c r="D373" s="4">
        <v>1</v>
      </c>
      <c r="E373" s="4">
        <v>229</v>
      </c>
      <c r="F373" s="4">
        <f>ROUND(Source!AZ362,O373)</f>
        <v>0</v>
      </c>
      <c r="G373" s="4" t="s">
        <v>115</v>
      </c>
      <c r="H373" s="4" t="s">
        <v>116</v>
      </c>
      <c r="I373" s="4"/>
      <c r="J373" s="4"/>
      <c r="K373" s="4">
        <v>229</v>
      </c>
      <c r="L373" s="4">
        <v>10</v>
      </c>
      <c r="M373" s="4">
        <v>3</v>
      </c>
      <c r="N373" s="4" t="s">
        <v>6</v>
      </c>
      <c r="O373" s="4">
        <v>2</v>
      </c>
      <c r="P373" s="4"/>
    </row>
    <row r="374" spans="1:16" ht="12.75">
      <c r="A374" s="4">
        <v>50</v>
      </c>
      <c r="B374" s="4">
        <v>0</v>
      </c>
      <c r="C374" s="4">
        <v>0</v>
      </c>
      <c r="D374" s="4">
        <v>1</v>
      </c>
      <c r="E374" s="4">
        <v>203</v>
      </c>
      <c r="F374" s="4">
        <f>ROUND(Source!Q362,O374)</f>
        <v>8466902.39</v>
      </c>
      <c r="G374" s="4" t="s">
        <v>117</v>
      </c>
      <c r="H374" s="4" t="s">
        <v>118</v>
      </c>
      <c r="I374" s="4"/>
      <c r="J374" s="4"/>
      <c r="K374" s="4">
        <v>203</v>
      </c>
      <c r="L374" s="4">
        <v>11</v>
      </c>
      <c r="M374" s="4">
        <v>3</v>
      </c>
      <c r="N374" s="4" t="s">
        <v>6</v>
      </c>
      <c r="O374" s="4">
        <v>2</v>
      </c>
      <c r="P374" s="4"/>
    </row>
    <row r="375" spans="1:16" ht="12.75">
      <c r="A375" s="4">
        <v>50</v>
      </c>
      <c r="B375" s="4">
        <v>0</v>
      </c>
      <c r="C375" s="4">
        <v>0</v>
      </c>
      <c r="D375" s="4">
        <v>1</v>
      </c>
      <c r="E375" s="4">
        <v>204</v>
      </c>
      <c r="F375" s="4">
        <f>ROUND(Source!R362,O375)</f>
        <v>2584159.5</v>
      </c>
      <c r="G375" s="4" t="s">
        <v>119</v>
      </c>
      <c r="H375" s="4" t="s">
        <v>120</v>
      </c>
      <c r="I375" s="4"/>
      <c r="J375" s="4"/>
      <c r="K375" s="4">
        <v>204</v>
      </c>
      <c r="L375" s="4">
        <v>12</v>
      </c>
      <c r="M375" s="4">
        <v>3</v>
      </c>
      <c r="N375" s="4" t="s">
        <v>6</v>
      </c>
      <c r="O375" s="4">
        <v>2</v>
      </c>
      <c r="P375" s="4"/>
    </row>
    <row r="376" spans="1:16" ht="12.75">
      <c r="A376" s="4">
        <v>50</v>
      </c>
      <c r="B376" s="4">
        <v>0</v>
      </c>
      <c r="C376" s="4">
        <v>0</v>
      </c>
      <c r="D376" s="4">
        <v>1</v>
      </c>
      <c r="E376" s="4">
        <v>205</v>
      </c>
      <c r="F376" s="4">
        <f>ROUND(Source!S362,O376)</f>
        <v>3298870.65</v>
      </c>
      <c r="G376" s="4" t="s">
        <v>121</v>
      </c>
      <c r="H376" s="4" t="s">
        <v>122</v>
      </c>
      <c r="I376" s="4"/>
      <c r="J376" s="4"/>
      <c r="K376" s="4">
        <v>205</v>
      </c>
      <c r="L376" s="4">
        <v>13</v>
      </c>
      <c r="M376" s="4">
        <v>3</v>
      </c>
      <c r="N376" s="4" t="s">
        <v>6</v>
      </c>
      <c r="O376" s="4">
        <v>2</v>
      </c>
      <c r="P376" s="4"/>
    </row>
    <row r="377" spans="1:16" ht="12.75">
      <c r="A377" s="4">
        <v>50</v>
      </c>
      <c r="B377" s="4">
        <v>0</v>
      </c>
      <c r="C377" s="4">
        <v>0</v>
      </c>
      <c r="D377" s="4">
        <v>1</v>
      </c>
      <c r="E377" s="4">
        <v>214</v>
      </c>
      <c r="F377" s="4">
        <f>ROUND(Source!AS362,O377)</f>
        <v>34525468.53</v>
      </c>
      <c r="G377" s="4" t="s">
        <v>123</v>
      </c>
      <c r="H377" s="4" t="s">
        <v>124</v>
      </c>
      <c r="I377" s="4"/>
      <c r="J377" s="4"/>
      <c r="K377" s="4">
        <v>214</v>
      </c>
      <c r="L377" s="4">
        <v>14</v>
      </c>
      <c r="M377" s="4">
        <v>3</v>
      </c>
      <c r="N377" s="4" t="s">
        <v>6</v>
      </c>
      <c r="O377" s="4">
        <v>2</v>
      </c>
      <c r="P377" s="4"/>
    </row>
    <row r="378" spans="1:16" ht="12.75">
      <c r="A378" s="4">
        <v>50</v>
      </c>
      <c r="B378" s="4">
        <v>0</v>
      </c>
      <c r="C378" s="4">
        <v>0</v>
      </c>
      <c r="D378" s="4">
        <v>1</v>
      </c>
      <c r="E378" s="4">
        <v>215</v>
      </c>
      <c r="F378" s="4">
        <f>ROUND(Source!AT362,O378)</f>
        <v>10501660.8</v>
      </c>
      <c r="G378" s="4" t="s">
        <v>125</v>
      </c>
      <c r="H378" s="4" t="s">
        <v>126</v>
      </c>
      <c r="I378" s="4"/>
      <c r="J378" s="4"/>
      <c r="K378" s="4">
        <v>215</v>
      </c>
      <c r="L378" s="4">
        <v>15</v>
      </c>
      <c r="M378" s="4">
        <v>3</v>
      </c>
      <c r="N378" s="4" t="s">
        <v>6</v>
      </c>
      <c r="O378" s="4">
        <v>2</v>
      </c>
      <c r="P378" s="4"/>
    </row>
    <row r="379" spans="1:16" ht="12.75">
      <c r="A379" s="4">
        <v>50</v>
      </c>
      <c r="B379" s="4">
        <v>0</v>
      </c>
      <c r="C379" s="4">
        <v>0</v>
      </c>
      <c r="D379" s="4">
        <v>1</v>
      </c>
      <c r="E379" s="4">
        <v>217</v>
      </c>
      <c r="F379" s="4">
        <f>ROUND(Source!AU362,O379)</f>
        <v>504483.16</v>
      </c>
      <c r="G379" s="4" t="s">
        <v>127</v>
      </c>
      <c r="H379" s="4" t="s">
        <v>128</v>
      </c>
      <c r="I379" s="4"/>
      <c r="J379" s="4"/>
      <c r="K379" s="4">
        <v>217</v>
      </c>
      <c r="L379" s="4">
        <v>16</v>
      </c>
      <c r="M379" s="4">
        <v>3</v>
      </c>
      <c r="N379" s="4" t="s">
        <v>6</v>
      </c>
      <c r="O379" s="4">
        <v>2</v>
      </c>
      <c r="P379" s="4"/>
    </row>
    <row r="380" spans="1:16" ht="12.75">
      <c r="A380" s="4">
        <v>50</v>
      </c>
      <c r="B380" s="4">
        <v>0</v>
      </c>
      <c r="C380" s="4">
        <v>0</v>
      </c>
      <c r="D380" s="4">
        <v>1</v>
      </c>
      <c r="E380" s="4">
        <v>206</v>
      </c>
      <c r="F380" s="4">
        <f>ROUND(Source!T362,O380)</f>
        <v>0</v>
      </c>
      <c r="G380" s="4" t="s">
        <v>129</v>
      </c>
      <c r="H380" s="4" t="s">
        <v>130</v>
      </c>
      <c r="I380" s="4"/>
      <c r="J380" s="4"/>
      <c r="K380" s="4">
        <v>206</v>
      </c>
      <c r="L380" s="4">
        <v>17</v>
      </c>
      <c r="M380" s="4">
        <v>3</v>
      </c>
      <c r="N380" s="4" t="s">
        <v>6</v>
      </c>
      <c r="O380" s="4">
        <v>2</v>
      </c>
      <c r="P380" s="4"/>
    </row>
    <row r="381" spans="1:16" ht="12.75">
      <c r="A381" s="4">
        <v>50</v>
      </c>
      <c r="B381" s="4">
        <v>0</v>
      </c>
      <c r="C381" s="4">
        <v>0</v>
      </c>
      <c r="D381" s="4">
        <v>1</v>
      </c>
      <c r="E381" s="4">
        <v>207</v>
      </c>
      <c r="F381" s="4">
        <f>Source!U362</f>
        <v>12910.409576475797</v>
      </c>
      <c r="G381" s="4" t="s">
        <v>131</v>
      </c>
      <c r="H381" s="4" t="s">
        <v>132</v>
      </c>
      <c r="I381" s="4"/>
      <c r="J381" s="4"/>
      <c r="K381" s="4">
        <v>207</v>
      </c>
      <c r="L381" s="4">
        <v>18</v>
      </c>
      <c r="M381" s="4">
        <v>3</v>
      </c>
      <c r="N381" s="4" t="s">
        <v>6</v>
      </c>
      <c r="O381" s="4">
        <v>-1</v>
      </c>
      <c r="P381" s="4"/>
    </row>
    <row r="382" spans="1:16" ht="12.75">
      <c r="A382" s="4">
        <v>50</v>
      </c>
      <c r="B382" s="4">
        <v>0</v>
      </c>
      <c r="C382" s="4">
        <v>0</v>
      </c>
      <c r="D382" s="4">
        <v>1</v>
      </c>
      <c r="E382" s="4">
        <v>208</v>
      </c>
      <c r="F382" s="4">
        <f>Source!V362</f>
        <v>0</v>
      </c>
      <c r="G382" s="4" t="s">
        <v>133</v>
      </c>
      <c r="H382" s="4" t="s">
        <v>134</v>
      </c>
      <c r="I382" s="4"/>
      <c r="J382" s="4"/>
      <c r="K382" s="4">
        <v>208</v>
      </c>
      <c r="L382" s="4">
        <v>19</v>
      </c>
      <c r="M382" s="4">
        <v>3</v>
      </c>
      <c r="N382" s="4" t="s">
        <v>6</v>
      </c>
      <c r="O382" s="4">
        <v>-1</v>
      </c>
      <c r="P382" s="4"/>
    </row>
    <row r="383" spans="1:16" ht="12.75">
      <c r="A383" s="4">
        <v>50</v>
      </c>
      <c r="B383" s="4">
        <v>0</v>
      </c>
      <c r="C383" s="4">
        <v>0</v>
      </c>
      <c r="D383" s="4">
        <v>1</v>
      </c>
      <c r="E383" s="4">
        <v>209</v>
      </c>
      <c r="F383" s="4">
        <f>ROUND(Source!W362,O383)</f>
        <v>0</v>
      </c>
      <c r="G383" s="4" t="s">
        <v>135</v>
      </c>
      <c r="H383" s="4" t="s">
        <v>136</v>
      </c>
      <c r="I383" s="4"/>
      <c r="J383" s="4"/>
      <c r="K383" s="4">
        <v>209</v>
      </c>
      <c r="L383" s="4">
        <v>20</v>
      </c>
      <c r="M383" s="4">
        <v>3</v>
      </c>
      <c r="N383" s="4" t="s">
        <v>6</v>
      </c>
      <c r="O383" s="4">
        <v>2</v>
      </c>
      <c r="P383" s="4"/>
    </row>
    <row r="384" spans="1:16" ht="12.75">
      <c r="A384" s="4">
        <v>50</v>
      </c>
      <c r="B384" s="4">
        <v>0</v>
      </c>
      <c r="C384" s="4">
        <v>0</v>
      </c>
      <c r="D384" s="4">
        <v>1</v>
      </c>
      <c r="E384" s="4">
        <v>210</v>
      </c>
      <c r="F384" s="4">
        <f>ROUND(Source!X362,O384)</f>
        <v>3079246.07</v>
      </c>
      <c r="G384" s="4" t="s">
        <v>137</v>
      </c>
      <c r="H384" s="4" t="s">
        <v>138</v>
      </c>
      <c r="I384" s="4"/>
      <c r="J384" s="4"/>
      <c r="K384" s="4">
        <v>210</v>
      </c>
      <c r="L384" s="4">
        <v>21</v>
      </c>
      <c r="M384" s="4">
        <v>3</v>
      </c>
      <c r="N384" s="4" t="s">
        <v>6</v>
      </c>
      <c r="O384" s="4">
        <v>2</v>
      </c>
      <c r="P384" s="4"/>
    </row>
    <row r="385" spans="1:16" ht="12.75">
      <c r="A385" s="4">
        <v>50</v>
      </c>
      <c r="B385" s="4">
        <v>0</v>
      </c>
      <c r="C385" s="4">
        <v>0</v>
      </c>
      <c r="D385" s="4">
        <v>1</v>
      </c>
      <c r="E385" s="4">
        <v>211</v>
      </c>
      <c r="F385" s="4">
        <f>ROUND(Source!Y362,O385)</f>
        <v>1607603.08</v>
      </c>
      <c r="G385" s="4" t="s">
        <v>139</v>
      </c>
      <c r="H385" s="4" t="s">
        <v>140</v>
      </c>
      <c r="I385" s="4"/>
      <c r="J385" s="4"/>
      <c r="K385" s="4">
        <v>211</v>
      </c>
      <c r="L385" s="4">
        <v>22</v>
      </c>
      <c r="M385" s="4">
        <v>3</v>
      </c>
      <c r="N385" s="4" t="s">
        <v>6</v>
      </c>
      <c r="O385" s="4">
        <v>2</v>
      </c>
      <c r="P385" s="4"/>
    </row>
    <row r="386" spans="1:16" ht="12.75">
      <c r="A386" s="4">
        <v>50</v>
      </c>
      <c r="B386" s="4">
        <v>0</v>
      </c>
      <c r="C386" s="4">
        <v>0</v>
      </c>
      <c r="D386" s="4">
        <v>1</v>
      </c>
      <c r="E386" s="4">
        <v>224</v>
      </c>
      <c r="F386" s="4">
        <f>ROUND(Source!AR362,O386)</f>
        <v>45531612.49</v>
      </c>
      <c r="G386" s="4" t="s">
        <v>141</v>
      </c>
      <c r="H386" s="4" t="s">
        <v>142</v>
      </c>
      <c r="I386" s="4"/>
      <c r="J386" s="4"/>
      <c r="K386" s="4">
        <v>224</v>
      </c>
      <c r="L386" s="4">
        <v>23</v>
      </c>
      <c r="M386" s="4">
        <v>3</v>
      </c>
      <c r="N386" s="4" t="s">
        <v>6</v>
      </c>
      <c r="O386" s="4">
        <v>2</v>
      </c>
      <c r="P386" s="4"/>
    </row>
    <row r="388" spans="1:118" ht="12.75">
      <c r="A388" s="2">
        <v>51</v>
      </c>
      <c r="B388" s="2">
        <f>B20</f>
        <v>1</v>
      </c>
      <c r="C388" s="2">
        <f>A20</f>
        <v>3</v>
      </c>
      <c r="D388" s="2">
        <f>ROW(A20)</f>
        <v>20</v>
      </c>
      <c r="E388" s="2"/>
      <c r="F388" s="2" t="str">
        <f>IF(F20&lt;&gt;"",F20,"")</f>
        <v>Новая локальная смета</v>
      </c>
      <c r="G388" s="2" t="str">
        <f>IF(G20&lt;&gt;"",G20,"")</f>
        <v>Новая локальная смета</v>
      </c>
      <c r="H388" s="2"/>
      <c r="I388" s="2"/>
      <c r="J388" s="2"/>
      <c r="K388" s="2"/>
      <c r="L388" s="2"/>
      <c r="M388" s="2"/>
      <c r="N388" s="2"/>
      <c r="O388" s="2">
        <f aca="true" t="shared" si="313" ref="O388:T388">ROUND(O362+AB388,2)</f>
        <v>36529216.99</v>
      </c>
      <c r="P388" s="2">
        <f t="shared" si="313"/>
        <v>24763443.95</v>
      </c>
      <c r="Q388" s="2">
        <f t="shared" si="313"/>
        <v>8466902.39</v>
      </c>
      <c r="R388" s="2">
        <f t="shared" si="313"/>
        <v>2584159.5</v>
      </c>
      <c r="S388" s="2">
        <f t="shared" si="313"/>
        <v>3298870.65</v>
      </c>
      <c r="T388" s="2">
        <f t="shared" si="313"/>
        <v>0</v>
      </c>
      <c r="U388" s="2">
        <f>U362+AH388</f>
        <v>12910.409576475797</v>
      </c>
      <c r="V388" s="2">
        <f>V362+AI388</f>
        <v>0</v>
      </c>
      <c r="W388" s="2">
        <f>ROUND(W362+AJ388,2)</f>
        <v>0</v>
      </c>
      <c r="X388" s="2">
        <f>ROUND(X362+AK388,2)</f>
        <v>3079246.07</v>
      </c>
      <c r="Y388" s="2">
        <f>ROUND(Y362+AL388,2)</f>
        <v>1607603.08</v>
      </c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>
        <f aca="true" t="shared" si="314" ref="AO388:AZ388">ROUND(AO362+BB388,2)</f>
        <v>0</v>
      </c>
      <c r="AP388" s="2">
        <f t="shared" si="314"/>
        <v>0</v>
      </c>
      <c r="AQ388" s="2">
        <f t="shared" si="314"/>
        <v>0</v>
      </c>
      <c r="AR388" s="2">
        <f t="shared" si="314"/>
        <v>45531612.49</v>
      </c>
      <c r="AS388" s="2">
        <f t="shared" si="314"/>
        <v>34525468.53</v>
      </c>
      <c r="AT388" s="2">
        <f t="shared" si="314"/>
        <v>10501660.8</v>
      </c>
      <c r="AU388" s="2">
        <f t="shared" si="314"/>
        <v>504483.16</v>
      </c>
      <c r="AV388" s="2">
        <f t="shared" si="314"/>
        <v>24763443.95</v>
      </c>
      <c r="AW388" s="2">
        <f t="shared" si="314"/>
        <v>24763443.95</v>
      </c>
      <c r="AX388" s="2">
        <f t="shared" si="314"/>
        <v>0</v>
      </c>
      <c r="AY388" s="2">
        <f t="shared" si="314"/>
        <v>24763443.95</v>
      </c>
      <c r="AZ388" s="2">
        <f t="shared" si="314"/>
        <v>0</v>
      </c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>
        <v>0</v>
      </c>
    </row>
    <row r="390" spans="1:16" ht="12.75">
      <c r="A390" s="4">
        <v>50</v>
      </c>
      <c r="B390" s="4">
        <v>0</v>
      </c>
      <c r="C390" s="4">
        <v>0</v>
      </c>
      <c r="D390" s="4">
        <v>1</v>
      </c>
      <c r="E390" s="4">
        <v>201</v>
      </c>
      <c r="F390" s="4">
        <f>ROUND(Source!O388,O390)</f>
        <v>36529216.99</v>
      </c>
      <c r="G390" s="4" t="s">
        <v>97</v>
      </c>
      <c r="H390" s="4" t="s">
        <v>98</v>
      </c>
      <c r="I390" s="4"/>
      <c r="J390" s="4"/>
      <c r="K390" s="4">
        <v>201</v>
      </c>
      <c r="L390" s="4">
        <v>1</v>
      </c>
      <c r="M390" s="4">
        <v>3</v>
      </c>
      <c r="N390" s="4" t="s">
        <v>6</v>
      </c>
      <c r="O390" s="4">
        <v>2</v>
      </c>
      <c r="P390" s="4"/>
    </row>
    <row r="391" spans="1:16" ht="12.75">
      <c r="A391" s="4">
        <v>50</v>
      </c>
      <c r="B391" s="4">
        <v>0</v>
      </c>
      <c r="C391" s="4">
        <v>0</v>
      </c>
      <c r="D391" s="4">
        <v>1</v>
      </c>
      <c r="E391" s="4">
        <v>202</v>
      </c>
      <c r="F391" s="4">
        <f>ROUND(Source!P388,O391)</f>
        <v>24763443.95</v>
      </c>
      <c r="G391" s="4" t="s">
        <v>99</v>
      </c>
      <c r="H391" s="4" t="s">
        <v>100</v>
      </c>
      <c r="I391" s="4"/>
      <c r="J391" s="4"/>
      <c r="K391" s="4">
        <v>202</v>
      </c>
      <c r="L391" s="4">
        <v>2</v>
      </c>
      <c r="M391" s="4">
        <v>3</v>
      </c>
      <c r="N391" s="4" t="s">
        <v>6</v>
      </c>
      <c r="O391" s="4">
        <v>2</v>
      </c>
      <c r="P391" s="4"/>
    </row>
    <row r="392" spans="1:16" ht="12.75">
      <c r="A392" s="4">
        <v>50</v>
      </c>
      <c r="B392" s="4">
        <v>0</v>
      </c>
      <c r="C392" s="4">
        <v>0</v>
      </c>
      <c r="D392" s="4">
        <v>1</v>
      </c>
      <c r="E392" s="4">
        <v>222</v>
      </c>
      <c r="F392" s="4">
        <f>ROUND(Source!AO388,O392)</f>
        <v>0</v>
      </c>
      <c r="G392" s="4" t="s">
        <v>101</v>
      </c>
      <c r="H392" s="4" t="s">
        <v>102</v>
      </c>
      <c r="I392" s="4"/>
      <c r="J392" s="4"/>
      <c r="K392" s="4">
        <v>222</v>
      </c>
      <c r="L392" s="4">
        <v>3</v>
      </c>
      <c r="M392" s="4">
        <v>3</v>
      </c>
      <c r="N392" s="4" t="s">
        <v>6</v>
      </c>
      <c r="O392" s="4">
        <v>2</v>
      </c>
      <c r="P392" s="4"/>
    </row>
    <row r="393" spans="1:16" ht="12.75">
      <c r="A393" s="4">
        <v>50</v>
      </c>
      <c r="B393" s="4">
        <v>0</v>
      </c>
      <c r="C393" s="4">
        <v>0</v>
      </c>
      <c r="D393" s="4">
        <v>1</v>
      </c>
      <c r="E393" s="4">
        <v>225</v>
      </c>
      <c r="F393" s="4">
        <f>ROUND(Source!AV388,O393)</f>
        <v>24763443.95</v>
      </c>
      <c r="G393" s="4" t="s">
        <v>103</v>
      </c>
      <c r="H393" s="4" t="s">
        <v>104</v>
      </c>
      <c r="I393" s="4"/>
      <c r="J393" s="4"/>
      <c r="K393" s="4">
        <v>225</v>
      </c>
      <c r="L393" s="4">
        <v>4</v>
      </c>
      <c r="M393" s="4">
        <v>3</v>
      </c>
      <c r="N393" s="4" t="s">
        <v>6</v>
      </c>
      <c r="O393" s="4">
        <v>2</v>
      </c>
      <c r="P393" s="4"/>
    </row>
    <row r="394" spans="1:16" ht="12.75">
      <c r="A394" s="4">
        <v>50</v>
      </c>
      <c r="B394" s="4">
        <v>0</v>
      </c>
      <c r="C394" s="4">
        <v>0</v>
      </c>
      <c r="D394" s="4">
        <v>1</v>
      </c>
      <c r="E394" s="4">
        <v>226</v>
      </c>
      <c r="F394" s="4">
        <f>ROUND(Source!AW388,O394)</f>
        <v>24763443.95</v>
      </c>
      <c r="G394" s="4" t="s">
        <v>105</v>
      </c>
      <c r="H394" s="4" t="s">
        <v>106</v>
      </c>
      <c r="I394" s="4"/>
      <c r="J394" s="4"/>
      <c r="K394" s="4">
        <v>226</v>
      </c>
      <c r="L394" s="4">
        <v>5</v>
      </c>
      <c r="M394" s="4">
        <v>3</v>
      </c>
      <c r="N394" s="4" t="s">
        <v>6</v>
      </c>
      <c r="O394" s="4">
        <v>2</v>
      </c>
      <c r="P394" s="4"/>
    </row>
    <row r="395" spans="1:16" ht="12.75">
      <c r="A395" s="4">
        <v>50</v>
      </c>
      <c r="B395" s="4">
        <v>0</v>
      </c>
      <c r="C395" s="4">
        <v>0</v>
      </c>
      <c r="D395" s="4">
        <v>1</v>
      </c>
      <c r="E395" s="4">
        <v>227</v>
      </c>
      <c r="F395" s="4">
        <f>ROUND(Source!AX388,O395)</f>
        <v>0</v>
      </c>
      <c r="G395" s="4" t="s">
        <v>107</v>
      </c>
      <c r="H395" s="4" t="s">
        <v>108</v>
      </c>
      <c r="I395" s="4"/>
      <c r="J395" s="4"/>
      <c r="K395" s="4">
        <v>227</v>
      </c>
      <c r="L395" s="4">
        <v>6</v>
      </c>
      <c r="M395" s="4">
        <v>3</v>
      </c>
      <c r="N395" s="4" t="s">
        <v>6</v>
      </c>
      <c r="O395" s="4">
        <v>2</v>
      </c>
      <c r="P395" s="4"/>
    </row>
    <row r="396" spans="1:16" ht="12.75">
      <c r="A396" s="4">
        <v>50</v>
      </c>
      <c r="B396" s="4">
        <v>0</v>
      </c>
      <c r="C396" s="4">
        <v>0</v>
      </c>
      <c r="D396" s="4">
        <v>1</v>
      </c>
      <c r="E396" s="4">
        <v>228</v>
      </c>
      <c r="F396" s="4">
        <f>ROUND(Source!AY388,O396)</f>
        <v>24763443.95</v>
      </c>
      <c r="G396" s="4" t="s">
        <v>109</v>
      </c>
      <c r="H396" s="4" t="s">
        <v>110</v>
      </c>
      <c r="I396" s="4"/>
      <c r="J396" s="4"/>
      <c r="K396" s="4">
        <v>228</v>
      </c>
      <c r="L396" s="4">
        <v>7</v>
      </c>
      <c r="M396" s="4">
        <v>3</v>
      </c>
      <c r="N396" s="4" t="s">
        <v>6</v>
      </c>
      <c r="O396" s="4">
        <v>2</v>
      </c>
      <c r="P396" s="4"/>
    </row>
    <row r="397" spans="1:16" ht="12.75">
      <c r="A397" s="4">
        <v>50</v>
      </c>
      <c r="B397" s="4">
        <v>0</v>
      </c>
      <c r="C397" s="4">
        <v>0</v>
      </c>
      <c r="D397" s="4">
        <v>1</v>
      </c>
      <c r="E397" s="4">
        <v>216</v>
      </c>
      <c r="F397" s="4">
        <f>ROUND(Source!AP388,O397)</f>
        <v>0</v>
      </c>
      <c r="G397" s="4" t="s">
        <v>111</v>
      </c>
      <c r="H397" s="4" t="s">
        <v>112</v>
      </c>
      <c r="I397" s="4"/>
      <c r="J397" s="4"/>
      <c r="K397" s="4">
        <v>216</v>
      </c>
      <c r="L397" s="4">
        <v>8</v>
      </c>
      <c r="M397" s="4">
        <v>3</v>
      </c>
      <c r="N397" s="4" t="s">
        <v>6</v>
      </c>
      <c r="O397" s="4">
        <v>2</v>
      </c>
      <c r="P397" s="4"/>
    </row>
    <row r="398" spans="1:16" ht="12.75">
      <c r="A398" s="4">
        <v>50</v>
      </c>
      <c r="B398" s="4">
        <v>0</v>
      </c>
      <c r="C398" s="4">
        <v>0</v>
      </c>
      <c r="D398" s="4">
        <v>1</v>
      </c>
      <c r="E398" s="4">
        <v>223</v>
      </c>
      <c r="F398" s="4">
        <f>ROUND(Source!AQ388,O398)</f>
        <v>0</v>
      </c>
      <c r="G398" s="4" t="s">
        <v>113</v>
      </c>
      <c r="H398" s="4" t="s">
        <v>114</v>
      </c>
      <c r="I398" s="4"/>
      <c r="J398" s="4"/>
      <c r="K398" s="4">
        <v>223</v>
      </c>
      <c r="L398" s="4">
        <v>9</v>
      </c>
      <c r="M398" s="4">
        <v>3</v>
      </c>
      <c r="N398" s="4" t="s">
        <v>6</v>
      </c>
      <c r="O398" s="4">
        <v>2</v>
      </c>
      <c r="P398" s="4"/>
    </row>
    <row r="399" spans="1:16" ht="12.75">
      <c r="A399" s="4">
        <v>50</v>
      </c>
      <c r="B399" s="4">
        <v>0</v>
      </c>
      <c r="C399" s="4">
        <v>0</v>
      </c>
      <c r="D399" s="4">
        <v>1</v>
      </c>
      <c r="E399" s="4">
        <v>229</v>
      </c>
      <c r="F399" s="4">
        <f>ROUND(Source!AZ388,O399)</f>
        <v>0</v>
      </c>
      <c r="G399" s="4" t="s">
        <v>115</v>
      </c>
      <c r="H399" s="4" t="s">
        <v>116</v>
      </c>
      <c r="I399" s="4"/>
      <c r="J399" s="4"/>
      <c r="K399" s="4">
        <v>229</v>
      </c>
      <c r="L399" s="4">
        <v>10</v>
      </c>
      <c r="M399" s="4">
        <v>3</v>
      </c>
      <c r="N399" s="4" t="s">
        <v>6</v>
      </c>
      <c r="O399" s="4">
        <v>2</v>
      </c>
      <c r="P399" s="4"/>
    </row>
    <row r="400" spans="1:16" ht="12.75">
      <c r="A400" s="4">
        <v>50</v>
      </c>
      <c r="B400" s="4">
        <v>0</v>
      </c>
      <c r="C400" s="4">
        <v>0</v>
      </c>
      <c r="D400" s="4">
        <v>1</v>
      </c>
      <c r="E400" s="4">
        <v>203</v>
      </c>
      <c r="F400" s="4">
        <f>ROUND(Source!Q388,O400)</f>
        <v>8466902.39</v>
      </c>
      <c r="G400" s="4" t="s">
        <v>117</v>
      </c>
      <c r="H400" s="4" t="s">
        <v>118</v>
      </c>
      <c r="I400" s="4"/>
      <c r="J400" s="4"/>
      <c r="K400" s="4">
        <v>203</v>
      </c>
      <c r="L400" s="4">
        <v>11</v>
      </c>
      <c r="M400" s="4">
        <v>3</v>
      </c>
      <c r="N400" s="4" t="s">
        <v>6</v>
      </c>
      <c r="O400" s="4">
        <v>2</v>
      </c>
      <c r="P400" s="4"/>
    </row>
    <row r="401" spans="1:16" ht="12.75">
      <c r="A401" s="4">
        <v>50</v>
      </c>
      <c r="B401" s="4">
        <v>0</v>
      </c>
      <c r="C401" s="4">
        <v>0</v>
      </c>
      <c r="D401" s="4">
        <v>1</v>
      </c>
      <c r="E401" s="4">
        <v>204</v>
      </c>
      <c r="F401" s="4">
        <f>ROUND(Source!R388,O401)</f>
        <v>2584159.5</v>
      </c>
      <c r="G401" s="4" t="s">
        <v>119</v>
      </c>
      <c r="H401" s="4" t="s">
        <v>120</v>
      </c>
      <c r="I401" s="4"/>
      <c r="J401" s="4"/>
      <c r="K401" s="4">
        <v>204</v>
      </c>
      <c r="L401" s="4">
        <v>12</v>
      </c>
      <c r="M401" s="4">
        <v>3</v>
      </c>
      <c r="N401" s="4" t="s">
        <v>6</v>
      </c>
      <c r="O401" s="4">
        <v>2</v>
      </c>
      <c r="P401" s="4"/>
    </row>
    <row r="402" spans="1:16" ht="12.75">
      <c r="A402" s="4">
        <v>50</v>
      </c>
      <c r="B402" s="4">
        <v>0</v>
      </c>
      <c r="C402" s="4">
        <v>0</v>
      </c>
      <c r="D402" s="4">
        <v>1</v>
      </c>
      <c r="E402" s="4">
        <v>205</v>
      </c>
      <c r="F402" s="4">
        <f>ROUND(Source!S388,O402)</f>
        <v>3298870.65</v>
      </c>
      <c r="G402" s="4" t="s">
        <v>121</v>
      </c>
      <c r="H402" s="4" t="s">
        <v>122</v>
      </c>
      <c r="I402" s="4"/>
      <c r="J402" s="4"/>
      <c r="K402" s="4">
        <v>205</v>
      </c>
      <c r="L402" s="4">
        <v>13</v>
      </c>
      <c r="M402" s="4">
        <v>3</v>
      </c>
      <c r="N402" s="4" t="s">
        <v>6</v>
      </c>
      <c r="O402" s="4">
        <v>2</v>
      </c>
      <c r="P402" s="4"/>
    </row>
    <row r="403" spans="1:16" ht="12.75">
      <c r="A403" s="4">
        <v>50</v>
      </c>
      <c r="B403" s="4">
        <v>0</v>
      </c>
      <c r="C403" s="4">
        <v>0</v>
      </c>
      <c r="D403" s="4">
        <v>1</v>
      </c>
      <c r="E403" s="4">
        <v>214</v>
      </c>
      <c r="F403" s="4">
        <f>ROUND(Source!AS388,O403)</f>
        <v>34525468.53</v>
      </c>
      <c r="G403" s="4" t="s">
        <v>123</v>
      </c>
      <c r="H403" s="4" t="s">
        <v>124</v>
      </c>
      <c r="I403" s="4"/>
      <c r="J403" s="4"/>
      <c r="K403" s="4">
        <v>214</v>
      </c>
      <c r="L403" s="4">
        <v>14</v>
      </c>
      <c r="M403" s="4">
        <v>3</v>
      </c>
      <c r="N403" s="4" t="s">
        <v>6</v>
      </c>
      <c r="O403" s="4">
        <v>2</v>
      </c>
      <c r="P403" s="4"/>
    </row>
    <row r="404" spans="1:16" ht="12.75">
      <c r="A404" s="4">
        <v>50</v>
      </c>
      <c r="B404" s="4">
        <v>0</v>
      </c>
      <c r="C404" s="4">
        <v>0</v>
      </c>
      <c r="D404" s="4">
        <v>1</v>
      </c>
      <c r="E404" s="4">
        <v>215</v>
      </c>
      <c r="F404" s="4">
        <f>ROUND(Source!AT388,O404)</f>
        <v>10501660.8</v>
      </c>
      <c r="G404" s="4" t="s">
        <v>125</v>
      </c>
      <c r="H404" s="4" t="s">
        <v>126</v>
      </c>
      <c r="I404" s="4"/>
      <c r="J404" s="4"/>
      <c r="K404" s="4">
        <v>215</v>
      </c>
      <c r="L404" s="4">
        <v>15</v>
      </c>
      <c r="M404" s="4">
        <v>3</v>
      </c>
      <c r="N404" s="4" t="s">
        <v>6</v>
      </c>
      <c r="O404" s="4">
        <v>2</v>
      </c>
      <c r="P404" s="4"/>
    </row>
    <row r="405" spans="1:16" ht="12.75">
      <c r="A405" s="4">
        <v>50</v>
      </c>
      <c r="B405" s="4">
        <v>0</v>
      </c>
      <c r="C405" s="4">
        <v>0</v>
      </c>
      <c r="D405" s="4">
        <v>1</v>
      </c>
      <c r="E405" s="4">
        <v>217</v>
      </c>
      <c r="F405" s="4">
        <f>ROUND(Source!AU388,O405)</f>
        <v>504483.16</v>
      </c>
      <c r="G405" s="4" t="s">
        <v>127</v>
      </c>
      <c r="H405" s="4" t="s">
        <v>128</v>
      </c>
      <c r="I405" s="4"/>
      <c r="J405" s="4"/>
      <c r="K405" s="4">
        <v>217</v>
      </c>
      <c r="L405" s="4">
        <v>16</v>
      </c>
      <c r="M405" s="4">
        <v>3</v>
      </c>
      <c r="N405" s="4" t="s">
        <v>6</v>
      </c>
      <c r="O405" s="4">
        <v>2</v>
      </c>
      <c r="P405" s="4"/>
    </row>
    <row r="406" spans="1:16" ht="12.75">
      <c r="A406" s="4">
        <v>50</v>
      </c>
      <c r="B406" s="4">
        <v>0</v>
      </c>
      <c r="C406" s="4">
        <v>0</v>
      </c>
      <c r="D406" s="4">
        <v>1</v>
      </c>
      <c r="E406" s="4">
        <v>206</v>
      </c>
      <c r="F406" s="4">
        <f>ROUND(Source!T388,O406)</f>
        <v>0</v>
      </c>
      <c r="G406" s="4" t="s">
        <v>129</v>
      </c>
      <c r="H406" s="4" t="s">
        <v>130</v>
      </c>
      <c r="I406" s="4"/>
      <c r="J406" s="4"/>
      <c r="K406" s="4">
        <v>206</v>
      </c>
      <c r="L406" s="4">
        <v>17</v>
      </c>
      <c r="M406" s="4">
        <v>3</v>
      </c>
      <c r="N406" s="4" t="s">
        <v>6</v>
      </c>
      <c r="O406" s="4">
        <v>2</v>
      </c>
      <c r="P406" s="4"/>
    </row>
    <row r="407" spans="1:16" ht="12.75">
      <c r="A407" s="4">
        <v>50</v>
      </c>
      <c r="B407" s="4">
        <v>0</v>
      </c>
      <c r="C407" s="4">
        <v>0</v>
      </c>
      <c r="D407" s="4">
        <v>1</v>
      </c>
      <c r="E407" s="4">
        <v>207</v>
      </c>
      <c r="F407" s="4">
        <f>Source!U388</f>
        <v>12910.409576475797</v>
      </c>
      <c r="G407" s="4" t="s">
        <v>131</v>
      </c>
      <c r="H407" s="4" t="s">
        <v>132</v>
      </c>
      <c r="I407" s="4"/>
      <c r="J407" s="4"/>
      <c r="K407" s="4">
        <v>207</v>
      </c>
      <c r="L407" s="4">
        <v>18</v>
      </c>
      <c r="M407" s="4">
        <v>3</v>
      </c>
      <c r="N407" s="4" t="s">
        <v>6</v>
      </c>
      <c r="O407" s="4">
        <v>-1</v>
      </c>
      <c r="P407" s="4"/>
    </row>
    <row r="408" spans="1:16" ht="12.75">
      <c r="A408" s="4">
        <v>50</v>
      </c>
      <c r="B408" s="4">
        <v>0</v>
      </c>
      <c r="C408" s="4">
        <v>0</v>
      </c>
      <c r="D408" s="4">
        <v>1</v>
      </c>
      <c r="E408" s="4">
        <v>208</v>
      </c>
      <c r="F408" s="4">
        <f>Source!V388</f>
        <v>0</v>
      </c>
      <c r="G408" s="4" t="s">
        <v>133</v>
      </c>
      <c r="H408" s="4" t="s">
        <v>134</v>
      </c>
      <c r="I408" s="4"/>
      <c r="J408" s="4"/>
      <c r="K408" s="4">
        <v>208</v>
      </c>
      <c r="L408" s="4">
        <v>19</v>
      </c>
      <c r="M408" s="4">
        <v>3</v>
      </c>
      <c r="N408" s="4" t="s">
        <v>6</v>
      </c>
      <c r="O408" s="4">
        <v>-1</v>
      </c>
      <c r="P408" s="4"/>
    </row>
    <row r="409" spans="1:16" ht="12.75">
      <c r="A409" s="4">
        <v>50</v>
      </c>
      <c r="B409" s="4">
        <v>0</v>
      </c>
      <c r="C409" s="4">
        <v>0</v>
      </c>
      <c r="D409" s="4">
        <v>1</v>
      </c>
      <c r="E409" s="4">
        <v>209</v>
      </c>
      <c r="F409" s="4">
        <f>ROUND(Source!W388,O409)</f>
        <v>0</v>
      </c>
      <c r="G409" s="4" t="s">
        <v>135</v>
      </c>
      <c r="H409" s="4" t="s">
        <v>136</v>
      </c>
      <c r="I409" s="4"/>
      <c r="J409" s="4"/>
      <c r="K409" s="4">
        <v>209</v>
      </c>
      <c r="L409" s="4">
        <v>20</v>
      </c>
      <c r="M409" s="4">
        <v>3</v>
      </c>
      <c r="N409" s="4" t="s">
        <v>6</v>
      </c>
      <c r="O409" s="4">
        <v>2</v>
      </c>
      <c r="P409" s="4"/>
    </row>
    <row r="410" spans="1:16" ht="12.75">
      <c r="A410" s="4">
        <v>50</v>
      </c>
      <c r="B410" s="4">
        <v>0</v>
      </c>
      <c r="C410" s="4">
        <v>0</v>
      </c>
      <c r="D410" s="4">
        <v>1</v>
      </c>
      <c r="E410" s="4">
        <v>210</v>
      </c>
      <c r="F410" s="4">
        <f>ROUND(Source!X388,O410)</f>
        <v>3079246.07</v>
      </c>
      <c r="G410" s="4" t="s">
        <v>137</v>
      </c>
      <c r="H410" s="4" t="s">
        <v>138</v>
      </c>
      <c r="I410" s="4"/>
      <c r="J410" s="4"/>
      <c r="K410" s="4">
        <v>210</v>
      </c>
      <c r="L410" s="4">
        <v>21</v>
      </c>
      <c r="M410" s="4">
        <v>3</v>
      </c>
      <c r="N410" s="4" t="s">
        <v>6</v>
      </c>
      <c r="O410" s="4">
        <v>2</v>
      </c>
      <c r="P410" s="4"/>
    </row>
    <row r="411" spans="1:16" ht="12.75">
      <c r="A411" s="4">
        <v>50</v>
      </c>
      <c r="B411" s="4">
        <v>0</v>
      </c>
      <c r="C411" s="4">
        <v>0</v>
      </c>
      <c r="D411" s="4">
        <v>1</v>
      </c>
      <c r="E411" s="4">
        <v>211</v>
      </c>
      <c r="F411" s="4">
        <f>ROUND(Source!Y388,O411)</f>
        <v>1607603.08</v>
      </c>
      <c r="G411" s="4" t="s">
        <v>139</v>
      </c>
      <c r="H411" s="4" t="s">
        <v>140</v>
      </c>
      <c r="I411" s="4"/>
      <c r="J411" s="4"/>
      <c r="K411" s="4">
        <v>211</v>
      </c>
      <c r="L411" s="4">
        <v>22</v>
      </c>
      <c r="M411" s="4">
        <v>3</v>
      </c>
      <c r="N411" s="4" t="s">
        <v>6</v>
      </c>
      <c r="O411" s="4">
        <v>2</v>
      </c>
      <c r="P411" s="4"/>
    </row>
    <row r="412" spans="1:16" ht="12.75">
      <c r="A412" s="4">
        <v>50</v>
      </c>
      <c r="B412" s="4">
        <v>0</v>
      </c>
      <c r="C412" s="4">
        <v>0</v>
      </c>
      <c r="D412" s="4">
        <v>1</v>
      </c>
      <c r="E412" s="4">
        <v>224</v>
      </c>
      <c r="F412" s="4">
        <f>ROUND(Source!AR388,O412)</f>
        <v>45531612.49</v>
      </c>
      <c r="G412" s="4" t="s">
        <v>141</v>
      </c>
      <c r="H412" s="4" t="s">
        <v>142</v>
      </c>
      <c r="I412" s="4"/>
      <c r="J412" s="4"/>
      <c r="K412" s="4">
        <v>224</v>
      </c>
      <c r="L412" s="4">
        <v>23</v>
      </c>
      <c r="M412" s="4">
        <v>3</v>
      </c>
      <c r="N412" s="4" t="s">
        <v>6</v>
      </c>
      <c r="O412" s="4">
        <v>2</v>
      </c>
      <c r="P412" s="4"/>
    </row>
    <row r="414" spans="1:118" ht="12.75">
      <c r="A414" s="2">
        <v>51</v>
      </c>
      <c r="B414" s="2">
        <f>B12</f>
        <v>446</v>
      </c>
      <c r="C414" s="2">
        <f>A12</f>
        <v>1</v>
      </c>
      <c r="D414" s="2">
        <f>ROW(A12)</f>
        <v>12</v>
      </c>
      <c r="E414" s="2"/>
      <c r="F414" s="2" t="str">
        <f>IF(F12&lt;&gt;"",F12,"")</f>
        <v>ПР-304-18-ЭС</v>
      </c>
      <c r="G414" s="2" t="str">
        <f>IF(G12&lt;&gt;"",G12,"")</f>
        <v>Строительство КЛ-20 кВ от ПС Никулино до РП-20 кВ ЦОД МО РФ_(4)</v>
      </c>
      <c r="H414" s="2"/>
      <c r="I414" s="2"/>
      <c r="J414" s="2"/>
      <c r="K414" s="2"/>
      <c r="L414" s="2"/>
      <c r="M414" s="2"/>
      <c r="N414" s="2"/>
      <c r="O414" s="2">
        <f aca="true" t="shared" si="315" ref="O414:T414">ROUND(O388,2)</f>
        <v>36529216.99</v>
      </c>
      <c r="P414" s="2">
        <f t="shared" si="315"/>
        <v>24763443.95</v>
      </c>
      <c r="Q414" s="2">
        <f t="shared" si="315"/>
        <v>8466902.39</v>
      </c>
      <c r="R414" s="2">
        <f t="shared" si="315"/>
        <v>2584159.5</v>
      </c>
      <c r="S414" s="2">
        <f t="shared" si="315"/>
        <v>3298870.65</v>
      </c>
      <c r="T414" s="2">
        <f t="shared" si="315"/>
        <v>0</v>
      </c>
      <c r="U414" s="2">
        <f>U388</f>
        <v>12910.409576475797</v>
      </c>
      <c r="V414" s="2">
        <f>V388</f>
        <v>0</v>
      </c>
      <c r="W414" s="2">
        <f>ROUND(W388,2)</f>
        <v>0</v>
      </c>
      <c r="X414" s="2">
        <f>ROUND(X388,2)</f>
        <v>3079246.07</v>
      </c>
      <c r="Y414" s="2">
        <f>ROUND(Y388,2)</f>
        <v>1607603.08</v>
      </c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>
        <f aca="true" t="shared" si="316" ref="AO414:AZ414">ROUND(AO388,2)</f>
        <v>0</v>
      </c>
      <c r="AP414" s="2">
        <f t="shared" si="316"/>
        <v>0</v>
      </c>
      <c r="AQ414" s="2">
        <f t="shared" si="316"/>
        <v>0</v>
      </c>
      <c r="AR414" s="2">
        <f t="shared" si="316"/>
        <v>45531612.49</v>
      </c>
      <c r="AS414" s="2">
        <f t="shared" si="316"/>
        <v>34525468.53</v>
      </c>
      <c r="AT414" s="2">
        <f t="shared" si="316"/>
        <v>10501660.8</v>
      </c>
      <c r="AU414" s="2">
        <f t="shared" si="316"/>
        <v>504483.16</v>
      </c>
      <c r="AV414" s="2">
        <f t="shared" si="316"/>
        <v>24763443.95</v>
      </c>
      <c r="AW414" s="2">
        <f t="shared" si="316"/>
        <v>24763443.95</v>
      </c>
      <c r="AX414" s="2">
        <f t="shared" si="316"/>
        <v>0</v>
      </c>
      <c r="AY414" s="2">
        <f t="shared" si="316"/>
        <v>24763443.95</v>
      </c>
      <c r="AZ414" s="2">
        <f t="shared" si="316"/>
        <v>0</v>
      </c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>
        <v>0</v>
      </c>
    </row>
    <row r="416" spans="1:16" ht="12.75">
      <c r="A416" s="4">
        <v>50</v>
      </c>
      <c r="B416" s="4">
        <v>0</v>
      </c>
      <c r="C416" s="4">
        <v>0</v>
      </c>
      <c r="D416" s="4">
        <v>1</v>
      </c>
      <c r="E416" s="4">
        <v>201</v>
      </c>
      <c r="F416" s="4">
        <f>ROUND(Source!O414,O416)</f>
        <v>36529216.99</v>
      </c>
      <c r="G416" s="4" t="s">
        <v>97</v>
      </c>
      <c r="H416" s="4" t="s">
        <v>98</v>
      </c>
      <c r="I416" s="4"/>
      <c r="J416" s="4"/>
      <c r="K416" s="4">
        <v>201</v>
      </c>
      <c r="L416" s="4">
        <v>1</v>
      </c>
      <c r="M416" s="4">
        <v>3</v>
      </c>
      <c r="N416" s="4" t="s">
        <v>6</v>
      </c>
      <c r="O416" s="4">
        <v>2</v>
      </c>
      <c r="P416" s="4"/>
    </row>
    <row r="417" spans="1:16" ht="12.75">
      <c r="A417" s="4">
        <v>50</v>
      </c>
      <c r="B417" s="4">
        <v>0</v>
      </c>
      <c r="C417" s="4">
        <v>0</v>
      </c>
      <c r="D417" s="4">
        <v>1</v>
      </c>
      <c r="E417" s="4">
        <v>202</v>
      </c>
      <c r="F417" s="4">
        <f>ROUND(Source!P414,O417)</f>
        <v>24763443.95</v>
      </c>
      <c r="G417" s="4" t="s">
        <v>99</v>
      </c>
      <c r="H417" s="4" t="s">
        <v>100</v>
      </c>
      <c r="I417" s="4"/>
      <c r="J417" s="4"/>
      <c r="K417" s="4">
        <v>202</v>
      </c>
      <c r="L417" s="4">
        <v>2</v>
      </c>
      <c r="M417" s="4">
        <v>3</v>
      </c>
      <c r="N417" s="4" t="s">
        <v>6</v>
      </c>
      <c r="O417" s="4">
        <v>2</v>
      </c>
      <c r="P417" s="4"/>
    </row>
    <row r="418" spans="1:16" ht="12.75">
      <c r="A418" s="4">
        <v>50</v>
      </c>
      <c r="B418" s="4">
        <v>0</v>
      </c>
      <c r="C418" s="4">
        <v>0</v>
      </c>
      <c r="D418" s="4">
        <v>1</v>
      </c>
      <c r="E418" s="4">
        <v>222</v>
      </c>
      <c r="F418" s="4">
        <f>ROUND(Source!AO414,O418)</f>
        <v>0</v>
      </c>
      <c r="G418" s="4" t="s">
        <v>101</v>
      </c>
      <c r="H418" s="4" t="s">
        <v>102</v>
      </c>
      <c r="I418" s="4"/>
      <c r="J418" s="4"/>
      <c r="K418" s="4">
        <v>222</v>
      </c>
      <c r="L418" s="4">
        <v>3</v>
      </c>
      <c r="M418" s="4">
        <v>3</v>
      </c>
      <c r="N418" s="4" t="s">
        <v>6</v>
      </c>
      <c r="O418" s="4">
        <v>2</v>
      </c>
      <c r="P418" s="4"/>
    </row>
    <row r="419" spans="1:16" ht="12.75">
      <c r="A419" s="4">
        <v>50</v>
      </c>
      <c r="B419" s="4">
        <v>0</v>
      </c>
      <c r="C419" s="4">
        <v>0</v>
      </c>
      <c r="D419" s="4">
        <v>1</v>
      </c>
      <c r="E419" s="4">
        <v>225</v>
      </c>
      <c r="F419" s="4">
        <f>ROUND(Source!AV414,O419)</f>
        <v>24763443.95</v>
      </c>
      <c r="G419" s="4" t="s">
        <v>103</v>
      </c>
      <c r="H419" s="4" t="s">
        <v>104</v>
      </c>
      <c r="I419" s="4"/>
      <c r="J419" s="4"/>
      <c r="K419" s="4">
        <v>225</v>
      </c>
      <c r="L419" s="4">
        <v>4</v>
      </c>
      <c r="M419" s="4">
        <v>3</v>
      </c>
      <c r="N419" s="4" t="s">
        <v>6</v>
      </c>
      <c r="O419" s="4">
        <v>2</v>
      </c>
      <c r="P419" s="4"/>
    </row>
    <row r="420" spans="1:16" ht="12.75">
      <c r="A420" s="4">
        <v>50</v>
      </c>
      <c r="B420" s="4">
        <v>0</v>
      </c>
      <c r="C420" s="4">
        <v>0</v>
      </c>
      <c r="D420" s="4">
        <v>1</v>
      </c>
      <c r="E420" s="4">
        <v>226</v>
      </c>
      <c r="F420" s="4">
        <f>ROUND(Source!AW414,O420)</f>
        <v>24763443.95</v>
      </c>
      <c r="G420" s="4" t="s">
        <v>105</v>
      </c>
      <c r="H420" s="4" t="s">
        <v>106</v>
      </c>
      <c r="I420" s="4"/>
      <c r="J420" s="4"/>
      <c r="K420" s="4">
        <v>226</v>
      </c>
      <c r="L420" s="4">
        <v>5</v>
      </c>
      <c r="M420" s="4">
        <v>3</v>
      </c>
      <c r="N420" s="4" t="s">
        <v>6</v>
      </c>
      <c r="O420" s="4">
        <v>2</v>
      </c>
      <c r="P420" s="4"/>
    </row>
    <row r="421" spans="1:16" ht="12.75">
      <c r="A421" s="4">
        <v>50</v>
      </c>
      <c r="B421" s="4">
        <v>0</v>
      </c>
      <c r="C421" s="4">
        <v>0</v>
      </c>
      <c r="D421" s="4">
        <v>1</v>
      </c>
      <c r="E421" s="4">
        <v>227</v>
      </c>
      <c r="F421" s="4">
        <f>ROUND(Source!AX414,O421)</f>
        <v>0</v>
      </c>
      <c r="G421" s="4" t="s">
        <v>107</v>
      </c>
      <c r="H421" s="4" t="s">
        <v>108</v>
      </c>
      <c r="I421" s="4"/>
      <c r="J421" s="4"/>
      <c r="K421" s="4">
        <v>227</v>
      </c>
      <c r="L421" s="4">
        <v>6</v>
      </c>
      <c r="M421" s="4">
        <v>3</v>
      </c>
      <c r="N421" s="4" t="s">
        <v>6</v>
      </c>
      <c r="O421" s="4">
        <v>2</v>
      </c>
      <c r="P421" s="4"/>
    </row>
    <row r="422" spans="1:16" ht="12.75">
      <c r="A422" s="4">
        <v>50</v>
      </c>
      <c r="B422" s="4">
        <v>0</v>
      </c>
      <c r="C422" s="4">
        <v>0</v>
      </c>
      <c r="D422" s="4">
        <v>1</v>
      </c>
      <c r="E422" s="4">
        <v>228</v>
      </c>
      <c r="F422" s="4">
        <f>ROUND(Source!AY414,O422)</f>
        <v>24763443.95</v>
      </c>
      <c r="G422" s="4" t="s">
        <v>109</v>
      </c>
      <c r="H422" s="4" t="s">
        <v>110</v>
      </c>
      <c r="I422" s="4"/>
      <c r="J422" s="4"/>
      <c r="K422" s="4">
        <v>228</v>
      </c>
      <c r="L422" s="4">
        <v>7</v>
      </c>
      <c r="M422" s="4">
        <v>3</v>
      </c>
      <c r="N422" s="4" t="s">
        <v>6</v>
      </c>
      <c r="O422" s="4">
        <v>2</v>
      </c>
      <c r="P422" s="4"/>
    </row>
    <row r="423" spans="1:16" ht="12.75">
      <c r="A423" s="4">
        <v>50</v>
      </c>
      <c r="B423" s="4">
        <v>0</v>
      </c>
      <c r="C423" s="4">
        <v>0</v>
      </c>
      <c r="D423" s="4">
        <v>1</v>
      </c>
      <c r="E423" s="4">
        <v>216</v>
      </c>
      <c r="F423" s="4">
        <f>ROUND(Source!AP414,O423)</f>
        <v>0</v>
      </c>
      <c r="G423" s="4" t="s">
        <v>111</v>
      </c>
      <c r="H423" s="4" t="s">
        <v>112</v>
      </c>
      <c r="I423" s="4"/>
      <c r="J423" s="4"/>
      <c r="K423" s="4">
        <v>216</v>
      </c>
      <c r="L423" s="4">
        <v>8</v>
      </c>
      <c r="M423" s="4">
        <v>3</v>
      </c>
      <c r="N423" s="4" t="s">
        <v>6</v>
      </c>
      <c r="O423" s="4">
        <v>2</v>
      </c>
      <c r="P423" s="4"/>
    </row>
    <row r="424" spans="1:16" ht="12.75">
      <c r="A424" s="4">
        <v>50</v>
      </c>
      <c r="B424" s="4">
        <v>0</v>
      </c>
      <c r="C424" s="4">
        <v>0</v>
      </c>
      <c r="D424" s="4">
        <v>1</v>
      </c>
      <c r="E424" s="4">
        <v>223</v>
      </c>
      <c r="F424" s="4">
        <f>ROUND(Source!AQ414,O424)</f>
        <v>0</v>
      </c>
      <c r="G424" s="4" t="s">
        <v>113</v>
      </c>
      <c r="H424" s="4" t="s">
        <v>114</v>
      </c>
      <c r="I424" s="4"/>
      <c r="J424" s="4"/>
      <c r="K424" s="4">
        <v>223</v>
      </c>
      <c r="L424" s="4">
        <v>9</v>
      </c>
      <c r="M424" s="4">
        <v>3</v>
      </c>
      <c r="N424" s="4" t="s">
        <v>6</v>
      </c>
      <c r="O424" s="4">
        <v>2</v>
      </c>
      <c r="P424" s="4"/>
    </row>
    <row r="425" spans="1:16" ht="12.75">
      <c r="A425" s="4">
        <v>50</v>
      </c>
      <c r="B425" s="4">
        <v>0</v>
      </c>
      <c r="C425" s="4">
        <v>0</v>
      </c>
      <c r="D425" s="4">
        <v>1</v>
      </c>
      <c r="E425" s="4">
        <v>229</v>
      </c>
      <c r="F425" s="4">
        <f>ROUND(Source!AZ414,O425)</f>
        <v>0</v>
      </c>
      <c r="G425" s="4" t="s">
        <v>115</v>
      </c>
      <c r="H425" s="4" t="s">
        <v>116</v>
      </c>
      <c r="I425" s="4"/>
      <c r="J425" s="4"/>
      <c r="K425" s="4">
        <v>229</v>
      </c>
      <c r="L425" s="4">
        <v>10</v>
      </c>
      <c r="M425" s="4">
        <v>3</v>
      </c>
      <c r="N425" s="4" t="s">
        <v>6</v>
      </c>
      <c r="O425" s="4">
        <v>2</v>
      </c>
      <c r="P425" s="4"/>
    </row>
    <row r="426" spans="1:16" ht="12.75">
      <c r="A426" s="4">
        <v>50</v>
      </c>
      <c r="B426" s="4">
        <v>0</v>
      </c>
      <c r="C426" s="4">
        <v>0</v>
      </c>
      <c r="D426" s="4">
        <v>1</v>
      </c>
      <c r="E426" s="4">
        <v>203</v>
      </c>
      <c r="F426" s="4">
        <f>ROUND(Source!Q414,O426)</f>
        <v>8466902.39</v>
      </c>
      <c r="G426" s="4" t="s">
        <v>117</v>
      </c>
      <c r="H426" s="4" t="s">
        <v>118</v>
      </c>
      <c r="I426" s="4"/>
      <c r="J426" s="4"/>
      <c r="K426" s="4">
        <v>203</v>
      </c>
      <c r="L426" s="4">
        <v>11</v>
      </c>
      <c r="M426" s="4">
        <v>3</v>
      </c>
      <c r="N426" s="4" t="s">
        <v>6</v>
      </c>
      <c r="O426" s="4">
        <v>2</v>
      </c>
      <c r="P426" s="4"/>
    </row>
    <row r="427" spans="1:16" ht="12.75">
      <c r="A427" s="4">
        <v>50</v>
      </c>
      <c r="B427" s="4">
        <v>0</v>
      </c>
      <c r="C427" s="4">
        <v>0</v>
      </c>
      <c r="D427" s="4">
        <v>1</v>
      </c>
      <c r="E427" s="4">
        <v>204</v>
      </c>
      <c r="F427" s="4">
        <f>ROUND(Source!R414,O427)</f>
        <v>2584159.5</v>
      </c>
      <c r="G427" s="4" t="s">
        <v>119</v>
      </c>
      <c r="H427" s="4" t="s">
        <v>120</v>
      </c>
      <c r="I427" s="4"/>
      <c r="J427" s="4"/>
      <c r="K427" s="4">
        <v>204</v>
      </c>
      <c r="L427" s="4">
        <v>12</v>
      </c>
      <c r="M427" s="4">
        <v>3</v>
      </c>
      <c r="N427" s="4" t="s">
        <v>6</v>
      </c>
      <c r="O427" s="4">
        <v>2</v>
      </c>
      <c r="P427" s="4"/>
    </row>
    <row r="428" spans="1:16" ht="12.75">
      <c r="A428" s="4">
        <v>50</v>
      </c>
      <c r="B428" s="4">
        <v>0</v>
      </c>
      <c r="C428" s="4">
        <v>0</v>
      </c>
      <c r="D428" s="4">
        <v>1</v>
      </c>
      <c r="E428" s="4">
        <v>205</v>
      </c>
      <c r="F428" s="4">
        <f>ROUND(Source!S414,O428)</f>
        <v>3298870.65</v>
      </c>
      <c r="G428" s="4" t="s">
        <v>121</v>
      </c>
      <c r="H428" s="4" t="s">
        <v>122</v>
      </c>
      <c r="I428" s="4"/>
      <c r="J428" s="4"/>
      <c r="K428" s="4">
        <v>205</v>
      </c>
      <c r="L428" s="4">
        <v>13</v>
      </c>
      <c r="M428" s="4">
        <v>3</v>
      </c>
      <c r="N428" s="4" t="s">
        <v>6</v>
      </c>
      <c r="O428" s="4">
        <v>2</v>
      </c>
      <c r="P428" s="4"/>
    </row>
    <row r="429" spans="1:16" ht="12.75">
      <c r="A429" s="4">
        <v>50</v>
      </c>
      <c r="B429" s="4">
        <v>0</v>
      </c>
      <c r="C429" s="4">
        <v>0</v>
      </c>
      <c r="D429" s="4">
        <v>1</v>
      </c>
      <c r="E429" s="4">
        <v>214</v>
      </c>
      <c r="F429" s="4">
        <f>ROUND(Source!AS414,O429)</f>
        <v>34525468.53</v>
      </c>
      <c r="G429" s="4" t="s">
        <v>123</v>
      </c>
      <c r="H429" s="4" t="s">
        <v>124</v>
      </c>
      <c r="I429" s="4"/>
      <c r="J429" s="4"/>
      <c r="K429" s="4">
        <v>214</v>
      </c>
      <c r="L429" s="4">
        <v>14</v>
      </c>
      <c r="M429" s="4">
        <v>3</v>
      </c>
      <c r="N429" s="4" t="s">
        <v>6</v>
      </c>
      <c r="O429" s="4">
        <v>2</v>
      </c>
      <c r="P429" s="4"/>
    </row>
    <row r="430" spans="1:16" ht="12.75">
      <c r="A430" s="4">
        <v>50</v>
      </c>
      <c r="B430" s="4">
        <v>0</v>
      </c>
      <c r="C430" s="4">
        <v>0</v>
      </c>
      <c r="D430" s="4">
        <v>1</v>
      </c>
      <c r="E430" s="4">
        <v>215</v>
      </c>
      <c r="F430" s="4">
        <f>ROUND(Source!AT414,O430)</f>
        <v>10501660.8</v>
      </c>
      <c r="G430" s="4" t="s">
        <v>125</v>
      </c>
      <c r="H430" s="4" t="s">
        <v>126</v>
      </c>
      <c r="I430" s="4"/>
      <c r="J430" s="4"/>
      <c r="K430" s="4">
        <v>215</v>
      </c>
      <c r="L430" s="4">
        <v>15</v>
      </c>
      <c r="M430" s="4">
        <v>3</v>
      </c>
      <c r="N430" s="4" t="s">
        <v>6</v>
      </c>
      <c r="O430" s="4">
        <v>2</v>
      </c>
      <c r="P430" s="4"/>
    </row>
    <row r="431" spans="1:16" ht="12.75">
      <c r="A431" s="4">
        <v>50</v>
      </c>
      <c r="B431" s="4">
        <v>0</v>
      </c>
      <c r="C431" s="4">
        <v>0</v>
      </c>
      <c r="D431" s="4">
        <v>1</v>
      </c>
      <c r="E431" s="4">
        <v>217</v>
      </c>
      <c r="F431" s="4">
        <f>ROUND(Source!AU414,O431)</f>
        <v>504483.16</v>
      </c>
      <c r="G431" s="4" t="s">
        <v>127</v>
      </c>
      <c r="H431" s="4" t="s">
        <v>128</v>
      </c>
      <c r="I431" s="4"/>
      <c r="J431" s="4"/>
      <c r="K431" s="4">
        <v>217</v>
      </c>
      <c r="L431" s="4">
        <v>16</v>
      </c>
      <c r="M431" s="4">
        <v>3</v>
      </c>
      <c r="N431" s="4" t="s">
        <v>6</v>
      </c>
      <c r="O431" s="4">
        <v>2</v>
      </c>
      <c r="P431" s="4"/>
    </row>
    <row r="432" spans="1:16" ht="12.75">
      <c r="A432" s="4">
        <v>50</v>
      </c>
      <c r="B432" s="4">
        <v>0</v>
      </c>
      <c r="C432" s="4">
        <v>0</v>
      </c>
      <c r="D432" s="4">
        <v>1</v>
      </c>
      <c r="E432" s="4">
        <v>206</v>
      </c>
      <c r="F432" s="4">
        <f>ROUND(Source!T414,O432)</f>
        <v>0</v>
      </c>
      <c r="G432" s="4" t="s">
        <v>129</v>
      </c>
      <c r="H432" s="4" t="s">
        <v>130</v>
      </c>
      <c r="I432" s="4"/>
      <c r="J432" s="4"/>
      <c r="K432" s="4">
        <v>206</v>
      </c>
      <c r="L432" s="4">
        <v>17</v>
      </c>
      <c r="M432" s="4">
        <v>3</v>
      </c>
      <c r="N432" s="4" t="s">
        <v>6</v>
      </c>
      <c r="O432" s="4">
        <v>2</v>
      </c>
      <c r="P432" s="4"/>
    </row>
    <row r="433" spans="1:16" ht="12.75">
      <c r="A433" s="4">
        <v>50</v>
      </c>
      <c r="B433" s="4">
        <v>0</v>
      </c>
      <c r="C433" s="4">
        <v>0</v>
      </c>
      <c r="D433" s="4">
        <v>1</v>
      </c>
      <c r="E433" s="4">
        <v>207</v>
      </c>
      <c r="F433" s="4">
        <f>Source!U414</f>
        <v>12910.409576475797</v>
      </c>
      <c r="G433" s="4" t="s">
        <v>131</v>
      </c>
      <c r="H433" s="4" t="s">
        <v>132</v>
      </c>
      <c r="I433" s="4"/>
      <c r="J433" s="4"/>
      <c r="K433" s="4">
        <v>207</v>
      </c>
      <c r="L433" s="4">
        <v>18</v>
      </c>
      <c r="M433" s="4">
        <v>3</v>
      </c>
      <c r="N433" s="4" t="s">
        <v>6</v>
      </c>
      <c r="O433" s="4">
        <v>-1</v>
      </c>
      <c r="P433" s="4"/>
    </row>
    <row r="434" spans="1:16" ht="12.75">
      <c r="A434" s="4">
        <v>50</v>
      </c>
      <c r="B434" s="4">
        <v>0</v>
      </c>
      <c r="C434" s="4">
        <v>0</v>
      </c>
      <c r="D434" s="4">
        <v>1</v>
      </c>
      <c r="E434" s="4">
        <v>208</v>
      </c>
      <c r="F434" s="4">
        <f>Source!V414</f>
        <v>0</v>
      </c>
      <c r="G434" s="4" t="s">
        <v>133</v>
      </c>
      <c r="H434" s="4" t="s">
        <v>134</v>
      </c>
      <c r="I434" s="4"/>
      <c r="J434" s="4"/>
      <c r="K434" s="4">
        <v>208</v>
      </c>
      <c r="L434" s="4">
        <v>19</v>
      </c>
      <c r="M434" s="4">
        <v>3</v>
      </c>
      <c r="N434" s="4" t="s">
        <v>6</v>
      </c>
      <c r="O434" s="4">
        <v>-1</v>
      </c>
      <c r="P434" s="4"/>
    </row>
    <row r="435" spans="1:16" ht="12.75">
      <c r="A435" s="4">
        <v>50</v>
      </c>
      <c r="B435" s="4">
        <v>0</v>
      </c>
      <c r="C435" s="4">
        <v>0</v>
      </c>
      <c r="D435" s="4">
        <v>1</v>
      </c>
      <c r="E435" s="4">
        <v>209</v>
      </c>
      <c r="F435" s="4">
        <f>ROUND(Source!W414,O435)</f>
        <v>0</v>
      </c>
      <c r="G435" s="4" t="s">
        <v>135</v>
      </c>
      <c r="H435" s="4" t="s">
        <v>136</v>
      </c>
      <c r="I435" s="4"/>
      <c r="J435" s="4"/>
      <c r="K435" s="4">
        <v>209</v>
      </c>
      <c r="L435" s="4">
        <v>20</v>
      </c>
      <c r="M435" s="4">
        <v>3</v>
      </c>
      <c r="N435" s="4" t="s">
        <v>6</v>
      </c>
      <c r="O435" s="4">
        <v>2</v>
      </c>
      <c r="P435" s="4"/>
    </row>
    <row r="436" spans="1:16" ht="12.75">
      <c r="A436" s="4">
        <v>50</v>
      </c>
      <c r="B436" s="4">
        <v>0</v>
      </c>
      <c r="C436" s="4">
        <v>0</v>
      </c>
      <c r="D436" s="4">
        <v>1</v>
      </c>
      <c r="E436" s="4">
        <v>210</v>
      </c>
      <c r="F436" s="4">
        <f>ROUND(Source!X414,O436)</f>
        <v>3079246.07</v>
      </c>
      <c r="G436" s="4" t="s">
        <v>137</v>
      </c>
      <c r="H436" s="4" t="s">
        <v>138</v>
      </c>
      <c r="I436" s="4"/>
      <c r="J436" s="4"/>
      <c r="K436" s="4">
        <v>210</v>
      </c>
      <c r="L436" s="4">
        <v>21</v>
      </c>
      <c r="M436" s="4">
        <v>3</v>
      </c>
      <c r="N436" s="4" t="s">
        <v>6</v>
      </c>
      <c r="O436" s="4">
        <v>2</v>
      </c>
      <c r="P436" s="4"/>
    </row>
    <row r="437" spans="1:16" ht="12.75">
      <c r="A437" s="4">
        <v>50</v>
      </c>
      <c r="B437" s="4">
        <v>0</v>
      </c>
      <c r="C437" s="4">
        <v>0</v>
      </c>
      <c r="D437" s="4">
        <v>1</v>
      </c>
      <c r="E437" s="4">
        <v>211</v>
      </c>
      <c r="F437" s="4">
        <f>ROUND(Source!Y414,O437)</f>
        <v>1607603.08</v>
      </c>
      <c r="G437" s="4" t="s">
        <v>139</v>
      </c>
      <c r="H437" s="4" t="s">
        <v>140</v>
      </c>
      <c r="I437" s="4"/>
      <c r="J437" s="4"/>
      <c r="K437" s="4">
        <v>211</v>
      </c>
      <c r="L437" s="4">
        <v>22</v>
      </c>
      <c r="M437" s="4">
        <v>3</v>
      </c>
      <c r="N437" s="4" t="s">
        <v>6</v>
      </c>
      <c r="O437" s="4">
        <v>2</v>
      </c>
      <c r="P437" s="4"/>
    </row>
    <row r="438" spans="1:16" ht="12.75">
      <c r="A438" s="4">
        <v>50</v>
      </c>
      <c r="B438" s="4">
        <v>0</v>
      </c>
      <c r="C438" s="4">
        <v>0</v>
      </c>
      <c r="D438" s="4">
        <v>1</v>
      </c>
      <c r="E438" s="4">
        <v>0</v>
      </c>
      <c r="F438" s="4">
        <f>ROUND(Source!AR414,O438)</f>
        <v>45531612.49</v>
      </c>
      <c r="G438" s="4" t="s">
        <v>141</v>
      </c>
      <c r="H438" s="4" t="s">
        <v>142</v>
      </c>
      <c r="I438" s="4"/>
      <c r="J438" s="4"/>
      <c r="K438" s="4">
        <v>224</v>
      </c>
      <c r="L438" s="4">
        <v>23</v>
      </c>
      <c r="M438" s="4">
        <v>3</v>
      </c>
      <c r="N438" s="4" t="s">
        <v>6</v>
      </c>
      <c r="O438" s="4">
        <v>2</v>
      </c>
      <c r="P438" s="4"/>
    </row>
    <row r="439" spans="1:16" ht="12.75">
      <c r="A439" s="4">
        <v>50</v>
      </c>
      <c r="B439" s="4">
        <v>1</v>
      </c>
      <c r="C439" s="4">
        <v>0</v>
      </c>
      <c r="D439" s="4">
        <v>2</v>
      </c>
      <c r="E439" s="4">
        <v>213</v>
      </c>
      <c r="F439" s="4">
        <f>ROUND(F438,O439)</f>
        <v>45531612.49</v>
      </c>
      <c r="G439" s="4" t="s">
        <v>393</v>
      </c>
      <c r="H439" s="4" t="s">
        <v>393</v>
      </c>
      <c r="I439" s="4"/>
      <c r="J439" s="4"/>
      <c r="K439" s="4">
        <v>212</v>
      </c>
      <c r="L439" s="4">
        <v>24</v>
      </c>
      <c r="M439" s="4">
        <v>0</v>
      </c>
      <c r="N439" s="4" t="s">
        <v>6</v>
      </c>
      <c r="O439" s="4">
        <v>2</v>
      </c>
      <c r="P439" s="4"/>
    </row>
    <row r="440" spans="1:16" ht="12.75">
      <c r="A440" s="4">
        <v>50</v>
      </c>
      <c r="B440" s="4">
        <v>1</v>
      </c>
      <c r="C440" s="4">
        <v>0</v>
      </c>
      <c r="D440" s="4">
        <v>2</v>
      </c>
      <c r="E440" s="4">
        <v>0</v>
      </c>
      <c r="F440" s="4">
        <f>ROUND(F439*0.18,O440)</f>
        <v>8195690.25</v>
      </c>
      <c r="G440" s="4" t="s">
        <v>394</v>
      </c>
      <c r="H440" s="4" t="s">
        <v>394</v>
      </c>
      <c r="I440" s="4"/>
      <c r="J440" s="4"/>
      <c r="K440" s="4">
        <v>212</v>
      </c>
      <c r="L440" s="4">
        <v>25</v>
      </c>
      <c r="M440" s="4">
        <v>0</v>
      </c>
      <c r="N440" s="4" t="s">
        <v>6</v>
      </c>
      <c r="O440" s="4">
        <v>2</v>
      </c>
      <c r="P440" s="4"/>
    </row>
    <row r="441" spans="1:16" ht="12.75">
      <c r="A441" s="4">
        <v>50</v>
      </c>
      <c r="B441" s="4">
        <v>1</v>
      </c>
      <c r="C441" s="4">
        <v>0</v>
      </c>
      <c r="D441" s="4">
        <v>2</v>
      </c>
      <c r="E441" s="4">
        <v>224</v>
      </c>
      <c r="F441" s="4">
        <f>ROUND(F439*1.18,O441)</f>
        <v>53727302.74</v>
      </c>
      <c r="G441" s="4" t="s">
        <v>395</v>
      </c>
      <c r="H441" s="4" t="s">
        <v>141</v>
      </c>
      <c r="I441" s="4"/>
      <c r="J441" s="4"/>
      <c r="K441" s="4">
        <v>212</v>
      </c>
      <c r="L441" s="4">
        <v>26</v>
      </c>
      <c r="M441" s="4">
        <v>0</v>
      </c>
      <c r="N441" s="4" t="s">
        <v>6</v>
      </c>
      <c r="O441" s="4">
        <v>2</v>
      </c>
      <c r="P441" s="4"/>
    </row>
    <row r="444" ht="12.75">
      <c r="A444">
        <v>-1</v>
      </c>
    </row>
    <row r="446" spans="1:15" ht="12.75">
      <c r="A446" s="3">
        <v>75</v>
      </c>
      <c r="B446" s="3" t="s">
        <v>396</v>
      </c>
      <c r="C446" s="3">
        <v>2018</v>
      </c>
      <c r="D446" s="3">
        <v>0</v>
      </c>
      <c r="E446" s="3">
        <v>4</v>
      </c>
      <c r="F446" s="3">
        <v>0</v>
      </c>
      <c r="G446" s="3">
        <v>0</v>
      </c>
      <c r="H446" s="3">
        <v>2</v>
      </c>
      <c r="I446" s="3">
        <v>1</v>
      </c>
      <c r="J446" s="3">
        <v>1</v>
      </c>
      <c r="K446" s="3">
        <v>98</v>
      </c>
      <c r="L446" s="3">
        <v>69</v>
      </c>
      <c r="M446" s="3">
        <v>0</v>
      </c>
      <c r="N446" s="3">
        <v>34388368</v>
      </c>
      <c r="O446" s="3">
        <v>1</v>
      </c>
    </row>
    <row r="447" spans="1:26" ht="12.75">
      <c r="A447" s="5">
        <v>1</v>
      </c>
      <c r="B447" s="5" t="s">
        <v>397</v>
      </c>
      <c r="C447" s="5" t="s">
        <v>14</v>
      </c>
      <c r="D447" s="5">
        <v>2018</v>
      </c>
      <c r="E447" s="5">
        <v>4</v>
      </c>
      <c r="F447" s="5">
        <v>1</v>
      </c>
      <c r="G447" s="5">
        <v>1</v>
      </c>
      <c r="H447" s="5">
        <v>0</v>
      </c>
      <c r="I447" s="5">
        <v>2</v>
      </c>
      <c r="J447" s="5">
        <v>1</v>
      </c>
      <c r="K447" s="5">
        <v>1</v>
      </c>
      <c r="L447" s="5">
        <v>1</v>
      </c>
      <c r="M447" s="5">
        <v>1</v>
      </c>
      <c r="N447" s="5">
        <v>1</v>
      </c>
      <c r="O447" s="5">
        <v>1</v>
      </c>
      <c r="P447" s="5">
        <v>1</v>
      </c>
      <c r="Q447" s="5">
        <v>1</v>
      </c>
      <c r="R447" s="5" t="s">
        <v>6</v>
      </c>
      <c r="S447" s="5" t="s">
        <v>6</v>
      </c>
      <c r="T447" s="5" t="s">
        <v>6</v>
      </c>
      <c r="U447" s="5" t="s">
        <v>6</v>
      </c>
      <c r="V447" s="5" t="s">
        <v>6</v>
      </c>
      <c r="W447" s="5" t="s">
        <v>6</v>
      </c>
      <c r="X447" s="5" t="s">
        <v>6</v>
      </c>
      <c r="Y447" s="5" t="s">
        <v>6</v>
      </c>
      <c r="Z447" s="5" t="s">
        <v>6</v>
      </c>
    </row>
    <row r="451" spans="1:5" ht="12.75">
      <c r="A451">
        <v>65</v>
      </c>
      <c r="C451">
        <v>1</v>
      </c>
      <c r="D451">
        <v>0</v>
      </c>
      <c r="E451">
        <v>245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C5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3" ht="12.75">
      <c r="A1">
        <v>0</v>
      </c>
      <c r="B1" t="s">
        <v>0</v>
      </c>
      <c r="D1" t="s">
        <v>398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41803</v>
      </c>
      <c r="M1">
        <v>10</v>
      </c>
    </row>
    <row r="12" spans="1:133" ht="12.75">
      <c r="A12" s="1">
        <v>1</v>
      </c>
      <c r="B12" s="1">
        <v>50</v>
      </c>
      <c r="C12" s="1">
        <v>0</v>
      </c>
      <c r="D12" s="1"/>
      <c r="E12" s="1">
        <v>0</v>
      </c>
      <c r="F12" s="1" t="s">
        <v>4</v>
      </c>
      <c r="G12" s="1" t="s">
        <v>5</v>
      </c>
      <c r="H12" s="1" t="s">
        <v>6</v>
      </c>
      <c r="I12" s="1">
        <v>0</v>
      </c>
      <c r="J12" s="1" t="s">
        <v>4</v>
      </c>
      <c r="K12" s="1"/>
      <c r="L12" s="1"/>
      <c r="M12" s="1"/>
      <c r="N12" s="1"/>
      <c r="O12" s="1">
        <v>0</v>
      </c>
      <c r="P12" s="1">
        <v>0</v>
      </c>
      <c r="Q12" s="1">
        <v>0</v>
      </c>
      <c r="R12" s="1">
        <v>167</v>
      </c>
      <c r="S12" s="1"/>
      <c r="T12" s="1"/>
      <c r="U12" s="1" t="s">
        <v>6</v>
      </c>
      <c r="V12" s="1">
        <v>0</v>
      </c>
      <c r="W12" s="1" t="s">
        <v>7</v>
      </c>
      <c r="X12" s="1" t="s">
        <v>6</v>
      </c>
      <c r="Y12" s="1" t="s">
        <v>6</v>
      </c>
      <c r="Z12" s="1" t="s">
        <v>6</v>
      </c>
      <c r="AA12" s="1" t="s">
        <v>6</v>
      </c>
      <c r="AB12" s="1" t="s">
        <v>8</v>
      </c>
      <c r="AC12" s="1" t="s">
        <v>9</v>
      </c>
      <c r="AD12" s="1" t="s">
        <v>6</v>
      </c>
      <c r="AE12" s="1" t="s">
        <v>6</v>
      </c>
      <c r="AF12" s="1" t="s">
        <v>6</v>
      </c>
      <c r="AG12" s="1" t="s">
        <v>6</v>
      </c>
      <c r="AH12" s="1" t="s">
        <v>6</v>
      </c>
      <c r="AI12" s="1" t="s">
        <v>6</v>
      </c>
      <c r="AJ12" s="1" t="s">
        <v>6</v>
      </c>
      <c r="AK12" s="1"/>
      <c r="AL12" s="1" t="s">
        <v>6</v>
      </c>
      <c r="AM12" s="1" t="s">
        <v>6</v>
      </c>
      <c r="AN12" s="1" t="s">
        <v>6</v>
      </c>
      <c r="AO12" s="1"/>
      <c r="AP12" s="1" t="s">
        <v>6</v>
      </c>
      <c r="AQ12" s="1" t="s">
        <v>6</v>
      </c>
      <c r="AR12" s="1" t="s">
        <v>6</v>
      </c>
      <c r="AS12" s="1"/>
      <c r="AT12" s="1"/>
      <c r="AU12" s="1"/>
      <c r="AV12" s="1"/>
      <c r="AW12" s="1"/>
      <c r="AX12" s="1" t="s">
        <v>6</v>
      </c>
      <c r="AY12" s="1" t="s">
        <v>6</v>
      </c>
      <c r="AZ12" s="1" t="s">
        <v>6</v>
      </c>
      <c r="BA12" s="1"/>
      <c r="BB12" s="1"/>
      <c r="BC12" s="1"/>
      <c r="BD12" s="1"/>
      <c r="BE12" s="1"/>
      <c r="BF12" s="1"/>
      <c r="BG12" s="1"/>
      <c r="BH12" s="1" t="s">
        <v>10</v>
      </c>
      <c r="BI12" s="1" t="s">
        <v>11</v>
      </c>
      <c r="BJ12" s="1">
        <v>1</v>
      </c>
      <c r="BK12" s="1">
        <v>1</v>
      </c>
      <c r="BL12" s="1">
        <v>0</v>
      </c>
      <c r="BM12" s="1">
        <v>0</v>
      </c>
      <c r="BN12" s="1">
        <v>1</v>
      </c>
      <c r="BO12" s="1">
        <v>0</v>
      </c>
      <c r="BP12" s="1">
        <v>6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 t="s">
        <v>12</v>
      </c>
      <c r="BZ12" s="1" t="s">
        <v>13</v>
      </c>
      <c r="CA12" s="1" t="s">
        <v>14</v>
      </c>
      <c r="CB12" s="1" t="s">
        <v>14</v>
      </c>
      <c r="CC12" s="1" t="s">
        <v>14</v>
      </c>
      <c r="CD12" s="1" t="s">
        <v>14</v>
      </c>
      <c r="CE12" s="1" t="s">
        <v>15</v>
      </c>
      <c r="CF12" s="1">
        <v>0</v>
      </c>
      <c r="CG12" s="1">
        <v>0</v>
      </c>
      <c r="CH12" s="1">
        <v>0</v>
      </c>
      <c r="CI12" s="1" t="s">
        <v>6</v>
      </c>
      <c r="CJ12" s="1" t="s">
        <v>6</v>
      </c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5" ht="12.75">
      <c r="A14" s="1">
        <v>22</v>
      </c>
      <c r="B14" s="1">
        <v>0</v>
      </c>
      <c r="C14" s="1">
        <v>0</v>
      </c>
      <c r="D14" s="1">
        <v>34388368</v>
      </c>
      <c r="E14" s="1">
        <v>0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63" ht="12.75">
      <c r="A16" s="6">
        <v>3</v>
      </c>
      <c r="B16" s="6">
        <v>1</v>
      </c>
      <c r="C16" s="6" t="s">
        <v>16</v>
      </c>
      <c r="D16" s="6" t="s">
        <v>16</v>
      </c>
      <c r="E16" s="7">
        <v>34525.46853</v>
      </c>
      <c r="F16" s="7">
        <v>10501.6608</v>
      </c>
      <c r="G16" s="7">
        <v>0</v>
      </c>
      <c r="H16" s="7">
        <v>504.48316</v>
      </c>
      <c r="I16" s="7">
        <v>45531.61249</v>
      </c>
      <c r="J16" s="7">
        <v>3298.87065</v>
      </c>
      <c r="AI16" s="6">
        <v>0</v>
      </c>
      <c r="AJ16" s="6">
        <v>0</v>
      </c>
      <c r="AK16" s="6" t="s">
        <v>6</v>
      </c>
      <c r="AL16" s="6" t="s">
        <v>6</v>
      </c>
      <c r="AM16" s="6" t="s">
        <v>6</v>
      </c>
      <c r="AN16" s="6">
        <v>0</v>
      </c>
      <c r="AO16" s="6" t="s">
        <v>6</v>
      </c>
      <c r="AP16" s="6" t="s">
        <v>6</v>
      </c>
      <c r="AT16" s="7">
        <v>36529216.99</v>
      </c>
      <c r="AU16" s="7">
        <v>24763443.95</v>
      </c>
      <c r="AV16" s="7">
        <v>0</v>
      </c>
      <c r="AW16" s="7">
        <v>0</v>
      </c>
      <c r="AX16" s="7">
        <v>0</v>
      </c>
      <c r="AY16" s="7">
        <v>8466902.39</v>
      </c>
      <c r="AZ16" s="7">
        <v>2584159.5</v>
      </c>
      <c r="BA16" s="7">
        <v>3298870.65</v>
      </c>
      <c r="BB16" s="7">
        <v>34525468.53</v>
      </c>
      <c r="BC16" s="7">
        <v>10501660.8</v>
      </c>
      <c r="BD16" s="7">
        <v>504483.16</v>
      </c>
      <c r="BE16" s="7">
        <v>0</v>
      </c>
      <c r="BF16" s="7">
        <v>12910.4095764758</v>
      </c>
      <c r="BG16" s="7">
        <v>0</v>
      </c>
      <c r="BH16" s="7">
        <v>0</v>
      </c>
      <c r="BI16" s="7">
        <v>3079246.07</v>
      </c>
      <c r="BJ16" s="7">
        <v>1607603.08</v>
      </c>
      <c r="BK16" s="7">
        <v>45531612.49</v>
      </c>
    </row>
    <row r="18" spans="1:19" ht="12.75">
      <c r="A18">
        <v>51</v>
      </c>
      <c r="E18" s="8">
        <v>34525.46853</v>
      </c>
      <c r="F18" s="8">
        <v>10501.6608</v>
      </c>
      <c r="G18" s="8">
        <v>0</v>
      </c>
      <c r="H18" s="8">
        <v>504.48316</v>
      </c>
      <c r="I18" s="8">
        <v>45531.61249</v>
      </c>
      <c r="J18" s="8">
        <v>3298.87065</v>
      </c>
      <c r="K18" s="8"/>
      <c r="L18" s="8"/>
      <c r="M18" s="8"/>
      <c r="N18" s="8"/>
      <c r="O18" s="8"/>
      <c r="P18" s="8"/>
      <c r="Q18" s="8"/>
      <c r="R18" s="8"/>
      <c r="S18" s="8"/>
    </row>
    <row r="20" spans="1:16" ht="12.75">
      <c r="A20" s="4">
        <v>50</v>
      </c>
      <c r="B20" s="4">
        <v>0</v>
      </c>
      <c r="C20" s="4">
        <v>0</v>
      </c>
      <c r="D20" s="4">
        <v>1</v>
      </c>
      <c r="E20" s="4">
        <v>201</v>
      </c>
      <c r="F20" s="4">
        <v>36529216.99</v>
      </c>
      <c r="G20" s="4" t="s">
        <v>97</v>
      </c>
      <c r="H20" s="4" t="s">
        <v>98</v>
      </c>
      <c r="I20" s="4"/>
      <c r="J20" s="4"/>
      <c r="K20" s="4">
        <v>201</v>
      </c>
      <c r="L20" s="4">
        <v>1</v>
      </c>
      <c r="M20" s="4">
        <v>3</v>
      </c>
      <c r="N20" s="4" t="s">
        <v>6</v>
      </c>
      <c r="O20" s="4">
        <v>2</v>
      </c>
      <c r="P20" s="4"/>
    </row>
    <row r="21" spans="1:16" ht="12.75">
      <c r="A21" s="4">
        <v>50</v>
      </c>
      <c r="B21" s="4">
        <v>0</v>
      </c>
      <c r="C21" s="4">
        <v>0</v>
      </c>
      <c r="D21" s="4">
        <v>1</v>
      </c>
      <c r="E21" s="4">
        <v>202</v>
      </c>
      <c r="F21" s="4">
        <v>24763443.95</v>
      </c>
      <c r="G21" s="4" t="s">
        <v>99</v>
      </c>
      <c r="H21" s="4" t="s">
        <v>100</v>
      </c>
      <c r="I21" s="4"/>
      <c r="J21" s="4"/>
      <c r="K21" s="4">
        <v>202</v>
      </c>
      <c r="L21" s="4">
        <v>2</v>
      </c>
      <c r="M21" s="4">
        <v>3</v>
      </c>
      <c r="N21" s="4" t="s">
        <v>6</v>
      </c>
      <c r="O21" s="4">
        <v>2</v>
      </c>
      <c r="P21" s="4"/>
    </row>
    <row r="22" spans="1:16" ht="12.75">
      <c r="A22" s="4">
        <v>50</v>
      </c>
      <c r="B22" s="4">
        <v>0</v>
      </c>
      <c r="C22" s="4">
        <v>0</v>
      </c>
      <c r="D22" s="4">
        <v>1</v>
      </c>
      <c r="E22" s="4">
        <v>222</v>
      </c>
      <c r="F22" s="4">
        <v>0</v>
      </c>
      <c r="G22" s="4" t="s">
        <v>101</v>
      </c>
      <c r="H22" s="4" t="s">
        <v>102</v>
      </c>
      <c r="I22" s="4"/>
      <c r="J22" s="4"/>
      <c r="K22" s="4">
        <v>222</v>
      </c>
      <c r="L22" s="4">
        <v>3</v>
      </c>
      <c r="M22" s="4">
        <v>3</v>
      </c>
      <c r="N22" s="4" t="s">
        <v>6</v>
      </c>
      <c r="O22" s="4">
        <v>2</v>
      </c>
      <c r="P22" s="4"/>
    </row>
    <row r="23" spans="1:16" ht="12.75">
      <c r="A23" s="4">
        <v>50</v>
      </c>
      <c r="B23" s="4">
        <v>0</v>
      </c>
      <c r="C23" s="4">
        <v>0</v>
      </c>
      <c r="D23" s="4">
        <v>1</v>
      </c>
      <c r="E23" s="4">
        <v>225</v>
      </c>
      <c r="F23" s="4">
        <v>24763443.95</v>
      </c>
      <c r="G23" s="4" t="s">
        <v>103</v>
      </c>
      <c r="H23" s="4" t="s">
        <v>104</v>
      </c>
      <c r="I23" s="4"/>
      <c r="J23" s="4"/>
      <c r="K23" s="4">
        <v>225</v>
      </c>
      <c r="L23" s="4">
        <v>4</v>
      </c>
      <c r="M23" s="4">
        <v>3</v>
      </c>
      <c r="N23" s="4" t="s">
        <v>6</v>
      </c>
      <c r="O23" s="4">
        <v>2</v>
      </c>
      <c r="P23" s="4"/>
    </row>
    <row r="24" spans="1:16" ht="12.75">
      <c r="A24" s="4">
        <v>50</v>
      </c>
      <c r="B24" s="4">
        <v>0</v>
      </c>
      <c r="C24" s="4">
        <v>0</v>
      </c>
      <c r="D24" s="4">
        <v>1</v>
      </c>
      <c r="E24" s="4">
        <v>226</v>
      </c>
      <c r="F24" s="4">
        <v>24763443.95</v>
      </c>
      <c r="G24" s="4" t="s">
        <v>105</v>
      </c>
      <c r="H24" s="4" t="s">
        <v>106</v>
      </c>
      <c r="I24" s="4"/>
      <c r="J24" s="4"/>
      <c r="K24" s="4">
        <v>226</v>
      </c>
      <c r="L24" s="4">
        <v>5</v>
      </c>
      <c r="M24" s="4">
        <v>3</v>
      </c>
      <c r="N24" s="4" t="s">
        <v>6</v>
      </c>
      <c r="O24" s="4">
        <v>2</v>
      </c>
      <c r="P24" s="4"/>
    </row>
    <row r="25" spans="1:16" ht="12.75">
      <c r="A25" s="4">
        <v>50</v>
      </c>
      <c r="B25" s="4">
        <v>0</v>
      </c>
      <c r="C25" s="4">
        <v>0</v>
      </c>
      <c r="D25" s="4">
        <v>1</v>
      </c>
      <c r="E25" s="4">
        <v>227</v>
      </c>
      <c r="F25" s="4">
        <v>0</v>
      </c>
      <c r="G25" s="4" t="s">
        <v>107</v>
      </c>
      <c r="H25" s="4" t="s">
        <v>108</v>
      </c>
      <c r="I25" s="4"/>
      <c r="J25" s="4"/>
      <c r="K25" s="4">
        <v>227</v>
      </c>
      <c r="L25" s="4">
        <v>6</v>
      </c>
      <c r="M25" s="4">
        <v>3</v>
      </c>
      <c r="N25" s="4" t="s">
        <v>6</v>
      </c>
      <c r="O25" s="4">
        <v>2</v>
      </c>
      <c r="P25" s="4"/>
    </row>
    <row r="26" spans="1:16" ht="12.75">
      <c r="A26" s="4">
        <v>50</v>
      </c>
      <c r="B26" s="4">
        <v>0</v>
      </c>
      <c r="C26" s="4">
        <v>0</v>
      </c>
      <c r="D26" s="4">
        <v>1</v>
      </c>
      <c r="E26" s="4">
        <v>228</v>
      </c>
      <c r="F26" s="4">
        <v>24763443.95</v>
      </c>
      <c r="G26" s="4" t="s">
        <v>109</v>
      </c>
      <c r="H26" s="4" t="s">
        <v>110</v>
      </c>
      <c r="I26" s="4"/>
      <c r="J26" s="4"/>
      <c r="K26" s="4">
        <v>228</v>
      </c>
      <c r="L26" s="4">
        <v>7</v>
      </c>
      <c r="M26" s="4">
        <v>3</v>
      </c>
      <c r="N26" s="4" t="s">
        <v>6</v>
      </c>
      <c r="O26" s="4">
        <v>2</v>
      </c>
      <c r="P26" s="4"/>
    </row>
    <row r="27" spans="1:16" ht="12.75">
      <c r="A27" s="4">
        <v>50</v>
      </c>
      <c r="B27" s="4">
        <v>0</v>
      </c>
      <c r="C27" s="4">
        <v>0</v>
      </c>
      <c r="D27" s="4">
        <v>1</v>
      </c>
      <c r="E27" s="4">
        <v>216</v>
      </c>
      <c r="F27" s="4">
        <v>0</v>
      </c>
      <c r="G27" s="4" t="s">
        <v>111</v>
      </c>
      <c r="H27" s="4" t="s">
        <v>112</v>
      </c>
      <c r="I27" s="4"/>
      <c r="J27" s="4"/>
      <c r="K27" s="4">
        <v>216</v>
      </c>
      <c r="L27" s="4">
        <v>8</v>
      </c>
      <c r="M27" s="4">
        <v>3</v>
      </c>
      <c r="N27" s="4" t="s">
        <v>6</v>
      </c>
      <c r="O27" s="4">
        <v>2</v>
      </c>
      <c r="P27" s="4"/>
    </row>
    <row r="28" spans="1:16" ht="12.75">
      <c r="A28" s="4">
        <v>50</v>
      </c>
      <c r="B28" s="4">
        <v>0</v>
      </c>
      <c r="C28" s="4">
        <v>0</v>
      </c>
      <c r="D28" s="4">
        <v>1</v>
      </c>
      <c r="E28" s="4">
        <v>223</v>
      </c>
      <c r="F28" s="4">
        <v>0</v>
      </c>
      <c r="G28" s="4" t="s">
        <v>113</v>
      </c>
      <c r="H28" s="4" t="s">
        <v>114</v>
      </c>
      <c r="I28" s="4"/>
      <c r="J28" s="4"/>
      <c r="K28" s="4">
        <v>223</v>
      </c>
      <c r="L28" s="4">
        <v>9</v>
      </c>
      <c r="M28" s="4">
        <v>3</v>
      </c>
      <c r="N28" s="4" t="s">
        <v>6</v>
      </c>
      <c r="O28" s="4">
        <v>2</v>
      </c>
      <c r="P28" s="4"/>
    </row>
    <row r="29" spans="1:16" ht="12.75">
      <c r="A29" s="4">
        <v>50</v>
      </c>
      <c r="B29" s="4">
        <v>0</v>
      </c>
      <c r="C29" s="4">
        <v>0</v>
      </c>
      <c r="D29" s="4">
        <v>1</v>
      </c>
      <c r="E29" s="4">
        <v>229</v>
      </c>
      <c r="F29" s="4">
        <v>0</v>
      </c>
      <c r="G29" s="4" t="s">
        <v>115</v>
      </c>
      <c r="H29" s="4" t="s">
        <v>116</v>
      </c>
      <c r="I29" s="4"/>
      <c r="J29" s="4"/>
      <c r="K29" s="4">
        <v>229</v>
      </c>
      <c r="L29" s="4">
        <v>10</v>
      </c>
      <c r="M29" s="4">
        <v>3</v>
      </c>
      <c r="N29" s="4" t="s">
        <v>6</v>
      </c>
      <c r="O29" s="4">
        <v>2</v>
      </c>
      <c r="P29" s="4"/>
    </row>
    <row r="30" spans="1:16" ht="12.75">
      <c r="A30" s="4">
        <v>50</v>
      </c>
      <c r="B30" s="4">
        <v>0</v>
      </c>
      <c r="C30" s="4">
        <v>0</v>
      </c>
      <c r="D30" s="4">
        <v>1</v>
      </c>
      <c r="E30" s="4">
        <v>203</v>
      </c>
      <c r="F30" s="4">
        <v>8466902.39</v>
      </c>
      <c r="G30" s="4" t="s">
        <v>117</v>
      </c>
      <c r="H30" s="4" t="s">
        <v>118</v>
      </c>
      <c r="I30" s="4"/>
      <c r="J30" s="4"/>
      <c r="K30" s="4">
        <v>203</v>
      </c>
      <c r="L30" s="4">
        <v>11</v>
      </c>
      <c r="M30" s="4">
        <v>3</v>
      </c>
      <c r="N30" s="4" t="s">
        <v>6</v>
      </c>
      <c r="O30" s="4">
        <v>2</v>
      </c>
      <c r="P30" s="4"/>
    </row>
    <row r="31" spans="1:16" ht="12.75">
      <c r="A31" s="4">
        <v>50</v>
      </c>
      <c r="B31" s="4">
        <v>0</v>
      </c>
      <c r="C31" s="4">
        <v>0</v>
      </c>
      <c r="D31" s="4">
        <v>1</v>
      </c>
      <c r="E31" s="4">
        <v>204</v>
      </c>
      <c r="F31" s="4">
        <v>2584159.5</v>
      </c>
      <c r="G31" s="4" t="s">
        <v>119</v>
      </c>
      <c r="H31" s="4" t="s">
        <v>120</v>
      </c>
      <c r="I31" s="4"/>
      <c r="J31" s="4"/>
      <c r="K31" s="4">
        <v>204</v>
      </c>
      <c r="L31" s="4">
        <v>12</v>
      </c>
      <c r="M31" s="4">
        <v>3</v>
      </c>
      <c r="N31" s="4" t="s">
        <v>6</v>
      </c>
      <c r="O31" s="4">
        <v>2</v>
      </c>
      <c r="P31" s="4"/>
    </row>
    <row r="32" spans="1:16" ht="12.75">
      <c r="A32" s="4">
        <v>50</v>
      </c>
      <c r="B32" s="4">
        <v>0</v>
      </c>
      <c r="C32" s="4">
        <v>0</v>
      </c>
      <c r="D32" s="4">
        <v>1</v>
      </c>
      <c r="E32" s="4">
        <v>205</v>
      </c>
      <c r="F32" s="4">
        <v>3298870.65</v>
      </c>
      <c r="G32" s="4" t="s">
        <v>121</v>
      </c>
      <c r="H32" s="4" t="s">
        <v>122</v>
      </c>
      <c r="I32" s="4"/>
      <c r="J32" s="4"/>
      <c r="K32" s="4">
        <v>205</v>
      </c>
      <c r="L32" s="4">
        <v>13</v>
      </c>
      <c r="M32" s="4">
        <v>3</v>
      </c>
      <c r="N32" s="4" t="s">
        <v>6</v>
      </c>
      <c r="O32" s="4">
        <v>2</v>
      </c>
      <c r="P32" s="4"/>
    </row>
    <row r="33" spans="1:16" ht="12.75">
      <c r="A33" s="4">
        <v>50</v>
      </c>
      <c r="B33" s="4">
        <v>0</v>
      </c>
      <c r="C33" s="4">
        <v>0</v>
      </c>
      <c r="D33" s="4">
        <v>1</v>
      </c>
      <c r="E33" s="4">
        <v>214</v>
      </c>
      <c r="F33" s="4">
        <v>34525468.53</v>
      </c>
      <c r="G33" s="4" t="s">
        <v>123</v>
      </c>
      <c r="H33" s="4" t="s">
        <v>124</v>
      </c>
      <c r="I33" s="4"/>
      <c r="J33" s="4"/>
      <c r="K33" s="4">
        <v>214</v>
      </c>
      <c r="L33" s="4">
        <v>14</v>
      </c>
      <c r="M33" s="4">
        <v>3</v>
      </c>
      <c r="N33" s="4" t="s">
        <v>6</v>
      </c>
      <c r="O33" s="4">
        <v>2</v>
      </c>
      <c r="P33" s="4"/>
    </row>
    <row r="34" spans="1:16" ht="12.75">
      <c r="A34" s="4">
        <v>50</v>
      </c>
      <c r="B34" s="4">
        <v>0</v>
      </c>
      <c r="C34" s="4">
        <v>0</v>
      </c>
      <c r="D34" s="4">
        <v>1</v>
      </c>
      <c r="E34" s="4">
        <v>215</v>
      </c>
      <c r="F34" s="4">
        <v>10501660.8</v>
      </c>
      <c r="G34" s="4" t="s">
        <v>125</v>
      </c>
      <c r="H34" s="4" t="s">
        <v>126</v>
      </c>
      <c r="I34" s="4"/>
      <c r="J34" s="4"/>
      <c r="K34" s="4">
        <v>215</v>
      </c>
      <c r="L34" s="4">
        <v>15</v>
      </c>
      <c r="M34" s="4">
        <v>3</v>
      </c>
      <c r="N34" s="4" t="s">
        <v>6</v>
      </c>
      <c r="O34" s="4">
        <v>2</v>
      </c>
      <c r="P34" s="4"/>
    </row>
    <row r="35" spans="1:16" ht="12.75">
      <c r="A35" s="4">
        <v>50</v>
      </c>
      <c r="B35" s="4">
        <v>0</v>
      </c>
      <c r="C35" s="4">
        <v>0</v>
      </c>
      <c r="D35" s="4">
        <v>1</v>
      </c>
      <c r="E35" s="4">
        <v>217</v>
      </c>
      <c r="F35" s="4">
        <v>504483.16</v>
      </c>
      <c r="G35" s="4" t="s">
        <v>127</v>
      </c>
      <c r="H35" s="4" t="s">
        <v>128</v>
      </c>
      <c r="I35" s="4"/>
      <c r="J35" s="4"/>
      <c r="K35" s="4">
        <v>217</v>
      </c>
      <c r="L35" s="4">
        <v>16</v>
      </c>
      <c r="M35" s="4">
        <v>3</v>
      </c>
      <c r="N35" s="4" t="s">
        <v>6</v>
      </c>
      <c r="O35" s="4">
        <v>2</v>
      </c>
      <c r="P35" s="4"/>
    </row>
    <row r="36" spans="1:16" ht="12.75">
      <c r="A36" s="4">
        <v>50</v>
      </c>
      <c r="B36" s="4">
        <v>0</v>
      </c>
      <c r="C36" s="4">
        <v>0</v>
      </c>
      <c r="D36" s="4">
        <v>1</v>
      </c>
      <c r="E36" s="4">
        <v>206</v>
      </c>
      <c r="F36" s="4">
        <v>0</v>
      </c>
      <c r="G36" s="4" t="s">
        <v>129</v>
      </c>
      <c r="H36" s="4" t="s">
        <v>130</v>
      </c>
      <c r="I36" s="4"/>
      <c r="J36" s="4"/>
      <c r="K36" s="4">
        <v>206</v>
      </c>
      <c r="L36" s="4">
        <v>17</v>
      </c>
      <c r="M36" s="4">
        <v>3</v>
      </c>
      <c r="N36" s="4" t="s">
        <v>6</v>
      </c>
      <c r="O36" s="4">
        <v>2</v>
      </c>
      <c r="P36" s="4"/>
    </row>
    <row r="37" spans="1:16" ht="12.75">
      <c r="A37" s="4">
        <v>50</v>
      </c>
      <c r="B37" s="4">
        <v>0</v>
      </c>
      <c r="C37" s="4">
        <v>0</v>
      </c>
      <c r="D37" s="4">
        <v>1</v>
      </c>
      <c r="E37" s="4">
        <v>207</v>
      </c>
      <c r="F37" s="4">
        <v>12910.4095764758</v>
      </c>
      <c r="G37" s="4" t="s">
        <v>131</v>
      </c>
      <c r="H37" s="4" t="s">
        <v>132</v>
      </c>
      <c r="I37" s="4"/>
      <c r="J37" s="4"/>
      <c r="K37" s="4">
        <v>207</v>
      </c>
      <c r="L37" s="4">
        <v>18</v>
      </c>
      <c r="M37" s="4">
        <v>3</v>
      </c>
      <c r="N37" s="4" t="s">
        <v>6</v>
      </c>
      <c r="O37" s="4">
        <v>-1</v>
      </c>
      <c r="P37" s="4"/>
    </row>
    <row r="38" spans="1:16" ht="12.75">
      <c r="A38" s="4">
        <v>50</v>
      </c>
      <c r="B38" s="4">
        <v>0</v>
      </c>
      <c r="C38" s="4">
        <v>0</v>
      </c>
      <c r="D38" s="4">
        <v>1</v>
      </c>
      <c r="E38" s="4">
        <v>208</v>
      </c>
      <c r="F38" s="4">
        <v>0</v>
      </c>
      <c r="G38" s="4" t="s">
        <v>133</v>
      </c>
      <c r="H38" s="4" t="s">
        <v>134</v>
      </c>
      <c r="I38" s="4"/>
      <c r="J38" s="4"/>
      <c r="K38" s="4">
        <v>208</v>
      </c>
      <c r="L38" s="4">
        <v>19</v>
      </c>
      <c r="M38" s="4">
        <v>3</v>
      </c>
      <c r="N38" s="4" t="s">
        <v>6</v>
      </c>
      <c r="O38" s="4">
        <v>-1</v>
      </c>
      <c r="P38" s="4"/>
    </row>
    <row r="39" spans="1:16" ht="12.75">
      <c r="A39" s="4">
        <v>50</v>
      </c>
      <c r="B39" s="4">
        <v>0</v>
      </c>
      <c r="C39" s="4">
        <v>0</v>
      </c>
      <c r="D39" s="4">
        <v>1</v>
      </c>
      <c r="E39" s="4">
        <v>209</v>
      </c>
      <c r="F39" s="4">
        <v>0</v>
      </c>
      <c r="G39" s="4" t="s">
        <v>135</v>
      </c>
      <c r="H39" s="4" t="s">
        <v>136</v>
      </c>
      <c r="I39" s="4"/>
      <c r="J39" s="4"/>
      <c r="K39" s="4">
        <v>209</v>
      </c>
      <c r="L39" s="4">
        <v>20</v>
      </c>
      <c r="M39" s="4">
        <v>3</v>
      </c>
      <c r="N39" s="4" t="s">
        <v>6</v>
      </c>
      <c r="O39" s="4">
        <v>2</v>
      </c>
      <c r="P39" s="4"/>
    </row>
    <row r="40" spans="1:16" ht="12.75">
      <c r="A40" s="4">
        <v>50</v>
      </c>
      <c r="B40" s="4">
        <v>0</v>
      </c>
      <c r="C40" s="4">
        <v>0</v>
      </c>
      <c r="D40" s="4">
        <v>1</v>
      </c>
      <c r="E40" s="4">
        <v>210</v>
      </c>
      <c r="F40" s="4">
        <v>3079246.07</v>
      </c>
      <c r="G40" s="4" t="s">
        <v>137</v>
      </c>
      <c r="H40" s="4" t="s">
        <v>138</v>
      </c>
      <c r="I40" s="4"/>
      <c r="J40" s="4"/>
      <c r="K40" s="4">
        <v>210</v>
      </c>
      <c r="L40" s="4">
        <v>21</v>
      </c>
      <c r="M40" s="4">
        <v>3</v>
      </c>
      <c r="N40" s="4" t="s">
        <v>6</v>
      </c>
      <c r="O40" s="4">
        <v>2</v>
      </c>
      <c r="P40" s="4"/>
    </row>
    <row r="41" spans="1:16" ht="12.75">
      <c r="A41" s="4">
        <v>50</v>
      </c>
      <c r="B41" s="4">
        <v>0</v>
      </c>
      <c r="C41" s="4">
        <v>0</v>
      </c>
      <c r="D41" s="4">
        <v>1</v>
      </c>
      <c r="E41" s="4">
        <v>211</v>
      </c>
      <c r="F41" s="4">
        <v>1607603.08</v>
      </c>
      <c r="G41" s="4" t="s">
        <v>139</v>
      </c>
      <c r="H41" s="4" t="s">
        <v>140</v>
      </c>
      <c r="I41" s="4"/>
      <c r="J41" s="4"/>
      <c r="K41" s="4">
        <v>211</v>
      </c>
      <c r="L41" s="4">
        <v>22</v>
      </c>
      <c r="M41" s="4">
        <v>3</v>
      </c>
      <c r="N41" s="4" t="s">
        <v>6</v>
      </c>
      <c r="O41" s="4">
        <v>2</v>
      </c>
      <c r="P41" s="4"/>
    </row>
    <row r="42" spans="1:16" ht="12.75">
      <c r="A42" s="4">
        <v>50</v>
      </c>
      <c r="B42" s="4">
        <v>0</v>
      </c>
      <c r="C42" s="4">
        <v>0</v>
      </c>
      <c r="D42" s="4">
        <v>1</v>
      </c>
      <c r="E42" s="4">
        <v>0</v>
      </c>
      <c r="F42" s="4">
        <v>45531612.49</v>
      </c>
      <c r="G42" s="4" t="s">
        <v>141</v>
      </c>
      <c r="H42" s="4" t="s">
        <v>142</v>
      </c>
      <c r="I42" s="4"/>
      <c r="J42" s="4"/>
      <c r="K42" s="4">
        <v>224</v>
      </c>
      <c r="L42" s="4">
        <v>23</v>
      </c>
      <c r="M42" s="4">
        <v>3</v>
      </c>
      <c r="N42" s="4" t="s">
        <v>6</v>
      </c>
      <c r="O42" s="4">
        <v>2</v>
      </c>
      <c r="P42" s="4"/>
    </row>
    <row r="43" spans="1:16" ht="12.75">
      <c r="A43" s="4">
        <v>50</v>
      </c>
      <c r="B43" s="4">
        <v>1</v>
      </c>
      <c r="C43" s="4">
        <v>0</v>
      </c>
      <c r="D43" s="4">
        <v>2</v>
      </c>
      <c r="E43" s="4">
        <v>213</v>
      </c>
      <c r="F43" s="4">
        <v>45531612.49</v>
      </c>
      <c r="G43" s="4" t="s">
        <v>393</v>
      </c>
      <c r="H43" s="4" t="s">
        <v>393</v>
      </c>
      <c r="I43" s="4"/>
      <c r="J43" s="4"/>
      <c r="K43" s="4">
        <v>212</v>
      </c>
      <c r="L43" s="4">
        <v>24</v>
      </c>
      <c r="M43" s="4">
        <v>0</v>
      </c>
      <c r="N43" s="4" t="s">
        <v>6</v>
      </c>
      <c r="O43" s="4">
        <v>2</v>
      </c>
      <c r="P43" s="4"/>
    </row>
    <row r="44" spans="1:16" ht="12.75">
      <c r="A44" s="4">
        <v>50</v>
      </c>
      <c r="B44" s="4">
        <v>1</v>
      </c>
      <c r="C44" s="4">
        <v>0</v>
      </c>
      <c r="D44" s="4">
        <v>2</v>
      </c>
      <c r="E44" s="4">
        <v>0</v>
      </c>
      <c r="F44" s="4">
        <v>8195690.25</v>
      </c>
      <c r="G44" s="4" t="s">
        <v>394</v>
      </c>
      <c r="H44" s="4" t="s">
        <v>394</v>
      </c>
      <c r="I44" s="4"/>
      <c r="J44" s="4"/>
      <c r="K44" s="4">
        <v>212</v>
      </c>
      <c r="L44" s="4">
        <v>25</v>
      </c>
      <c r="M44" s="4">
        <v>0</v>
      </c>
      <c r="N44" s="4" t="s">
        <v>6</v>
      </c>
      <c r="O44" s="4">
        <v>2</v>
      </c>
      <c r="P44" s="4"/>
    </row>
    <row r="45" spans="1:16" ht="12.75">
      <c r="A45" s="4">
        <v>50</v>
      </c>
      <c r="B45" s="4">
        <v>1</v>
      </c>
      <c r="C45" s="4">
        <v>0</v>
      </c>
      <c r="D45" s="4">
        <v>2</v>
      </c>
      <c r="E45" s="4">
        <v>224</v>
      </c>
      <c r="F45" s="4">
        <v>53727302.74</v>
      </c>
      <c r="G45" s="4" t="s">
        <v>395</v>
      </c>
      <c r="H45" s="4" t="s">
        <v>141</v>
      </c>
      <c r="I45" s="4"/>
      <c r="J45" s="4"/>
      <c r="K45" s="4">
        <v>212</v>
      </c>
      <c r="L45" s="4">
        <v>26</v>
      </c>
      <c r="M45" s="4">
        <v>0</v>
      </c>
      <c r="N45" s="4" t="s">
        <v>6</v>
      </c>
      <c r="O45" s="4">
        <v>2</v>
      </c>
      <c r="P45" s="4"/>
    </row>
    <row r="47" ht="12.75">
      <c r="A47">
        <v>-1</v>
      </c>
    </row>
    <row r="50" spans="1:15" ht="12.75">
      <c r="A50" s="3">
        <v>75</v>
      </c>
      <c r="B50" s="3" t="s">
        <v>396</v>
      </c>
      <c r="C50" s="3">
        <v>2018</v>
      </c>
      <c r="D50" s="3">
        <v>0</v>
      </c>
      <c r="E50" s="3">
        <v>4</v>
      </c>
      <c r="F50" s="3">
        <v>0</v>
      </c>
      <c r="G50" s="3">
        <v>0</v>
      </c>
      <c r="H50" s="3">
        <v>2</v>
      </c>
      <c r="I50" s="3">
        <v>1</v>
      </c>
      <c r="J50" s="3">
        <v>1</v>
      </c>
      <c r="K50" s="3">
        <v>98</v>
      </c>
      <c r="L50" s="3">
        <v>69</v>
      </c>
      <c r="M50" s="3">
        <v>0</v>
      </c>
      <c r="N50" s="3">
        <v>34388368</v>
      </c>
      <c r="O50" s="3">
        <v>1</v>
      </c>
    </row>
    <row r="51" spans="1:26" ht="12.75">
      <c r="A51" s="5">
        <v>1</v>
      </c>
      <c r="B51" s="5" t="s">
        <v>397</v>
      </c>
      <c r="C51" s="5" t="s">
        <v>14</v>
      </c>
      <c r="D51" s="5">
        <v>2018</v>
      </c>
      <c r="E51" s="5">
        <v>4</v>
      </c>
      <c r="F51" s="5">
        <v>1</v>
      </c>
      <c r="G51" s="5">
        <v>1</v>
      </c>
      <c r="H51" s="5">
        <v>0</v>
      </c>
      <c r="I51" s="5">
        <v>2</v>
      </c>
      <c r="J51" s="5">
        <v>1</v>
      </c>
      <c r="K51" s="5">
        <v>1</v>
      </c>
      <c r="L51" s="5">
        <v>1</v>
      </c>
      <c r="M51" s="5">
        <v>1</v>
      </c>
      <c r="N51" s="5">
        <v>1</v>
      </c>
      <c r="O51" s="5">
        <v>1</v>
      </c>
      <c r="P51" s="5">
        <v>1</v>
      </c>
      <c r="Q51" s="5">
        <v>1</v>
      </c>
      <c r="R51" s="5" t="s">
        <v>6</v>
      </c>
      <c r="S51" s="5" t="s">
        <v>6</v>
      </c>
      <c r="T51" s="5" t="s">
        <v>6</v>
      </c>
      <c r="U51" s="5" t="s">
        <v>6</v>
      </c>
      <c r="V51" s="5" t="s">
        <v>6</v>
      </c>
      <c r="W51" s="5" t="s">
        <v>6</v>
      </c>
      <c r="X51" s="5" t="s">
        <v>6</v>
      </c>
      <c r="Y51" s="5" t="s">
        <v>6</v>
      </c>
      <c r="Z51" s="5" t="s">
        <v>6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B144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06" ht="12.75">
      <c r="A1">
        <f>ROW(Source!A32)</f>
        <v>32</v>
      </c>
      <c r="B1">
        <v>34388368</v>
      </c>
      <c r="C1">
        <v>34388874</v>
      </c>
      <c r="D1">
        <v>7157835</v>
      </c>
      <c r="E1">
        <v>7157832</v>
      </c>
      <c r="F1">
        <v>1</v>
      </c>
      <c r="G1">
        <v>7157832</v>
      </c>
      <c r="H1">
        <v>1</v>
      </c>
      <c r="I1" t="s">
        <v>399</v>
      </c>
      <c r="K1" t="s">
        <v>400</v>
      </c>
      <c r="L1">
        <v>1191</v>
      </c>
      <c r="N1">
        <v>1013</v>
      </c>
      <c r="O1" t="s">
        <v>401</v>
      </c>
      <c r="P1" t="s">
        <v>401</v>
      </c>
      <c r="Q1">
        <v>1</v>
      </c>
      <c r="W1">
        <v>0</v>
      </c>
      <c r="X1">
        <v>946207192</v>
      </c>
      <c r="Y1">
        <v>221.60499999999996</v>
      </c>
      <c r="AA1">
        <v>0</v>
      </c>
      <c r="AB1">
        <v>0</v>
      </c>
      <c r="AC1">
        <v>0</v>
      </c>
      <c r="AD1">
        <v>0</v>
      </c>
      <c r="AE1">
        <v>0</v>
      </c>
      <c r="AF1">
        <v>0</v>
      </c>
      <c r="AG1">
        <v>0</v>
      </c>
      <c r="AH1">
        <v>0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1</v>
      </c>
      <c r="AQ1">
        <v>0</v>
      </c>
      <c r="AR1">
        <v>0</v>
      </c>
      <c r="AT1">
        <v>192.7</v>
      </c>
      <c r="AU1" t="s">
        <v>27</v>
      </c>
      <c r="AV1">
        <v>1</v>
      </c>
      <c r="AW1">
        <v>2</v>
      </c>
      <c r="AX1">
        <v>34388876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Y1*Source!I32</f>
        <v>840.3261599999998</v>
      </c>
      <c r="CY1">
        <f>AD1</f>
        <v>0</v>
      </c>
      <c r="CZ1">
        <f>AH1</f>
        <v>0</v>
      </c>
      <c r="DA1">
        <f>AL1</f>
        <v>1</v>
      </c>
      <c r="DB1">
        <v>0</v>
      </c>
    </row>
    <row r="2" spans="1:106" ht="12.75">
      <c r="A2">
        <f>ROW(Source!A33)</f>
        <v>33</v>
      </c>
      <c r="B2">
        <v>34388368</v>
      </c>
      <c r="C2">
        <v>34388877</v>
      </c>
      <c r="D2">
        <v>7157835</v>
      </c>
      <c r="E2">
        <v>7157832</v>
      </c>
      <c r="F2">
        <v>1</v>
      </c>
      <c r="G2">
        <v>7157832</v>
      </c>
      <c r="H2">
        <v>1</v>
      </c>
      <c r="I2" t="s">
        <v>399</v>
      </c>
      <c r="K2" t="s">
        <v>400</v>
      </c>
      <c r="L2">
        <v>1191</v>
      </c>
      <c r="N2">
        <v>1013</v>
      </c>
      <c r="O2" t="s">
        <v>401</v>
      </c>
      <c r="P2" t="s">
        <v>401</v>
      </c>
      <c r="Q2">
        <v>1</v>
      </c>
      <c r="W2">
        <v>0</v>
      </c>
      <c r="X2">
        <v>946207192</v>
      </c>
      <c r="Y2">
        <v>11.729999999999999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1</v>
      </c>
      <c r="AQ2">
        <v>0</v>
      </c>
      <c r="AR2">
        <v>0</v>
      </c>
      <c r="AT2">
        <v>10.2</v>
      </c>
      <c r="AU2" t="s">
        <v>27</v>
      </c>
      <c r="AV2">
        <v>1</v>
      </c>
      <c r="AW2">
        <v>2</v>
      </c>
      <c r="AX2">
        <v>34388881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Y2*Source!I33</f>
        <v>22.099319999999995</v>
      </c>
      <c r="CY2">
        <f>AD2</f>
        <v>0</v>
      </c>
      <c r="CZ2">
        <f>AH2</f>
        <v>0</v>
      </c>
      <c r="DA2">
        <f>AL2</f>
        <v>1</v>
      </c>
      <c r="DB2">
        <v>0</v>
      </c>
    </row>
    <row r="3" spans="1:106" ht="12.75">
      <c r="A3">
        <f>ROW(Source!A33)</f>
        <v>33</v>
      </c>
      <c r="B3">
        <v>34388368</v>
      </c>
      <c r="C3">
        <v>34388877</v>
      </c>
      <c r="D3">
        <v>7230897</v>
      </c>
      <c r="E3">
        <v>1</v>
      </c>
      <c r="F3">
        <v>1</v>
      </c>
      <c r="G3">
        <v>7157832</v>
      </c>
      <c r="H3">
        <v>2</v>
      </c>
      <c r="I3" t="s">
        <v>402</v>
      </c>
      <c r="J3" t="s">
        <v>403</v>
      </c>
      <c r="K3" t="s">
        <v>404</v>
      </c>
      <c r="L3">
        <v>1368</v>
      </c>
      <c r="N3">
        <v>1011</v>
      </c>
      <c r="O3" t="s">
        <v>211</v>
      </c>
      <c r="P3" t="s">
        <v>211</v>
      </c>
      <c r="Q3">
        <v>1</v>
      </c>
      <c r="W3">
        <v>0</v>
      </c>
      <c r="X3">
        <v>-912227093</v>
      </c>
      <c r="Y3">
        <v>0.368</v>
      </c>
      <c r="AA3">
        <v>0</v>
      </c>
      <c r="AB3">
        <v>621.57</v>
      </c>
      <c r="AC3">
        <v>367.86</v>
      </c>
      <c r="AD3">
        <v>0</v>
      </c>
      <c r="AE3">
        <v>0</v>
      </c>
      <c r="AF3">
        <v>73</v>
      </c>
      <c r="AG3">
        <v>16.9</v>
      </c>
      <c r="AH3">
        <v>0</v>
      </c>
      <c r="AI3">
        <v>1</v>
      </c>
      <c r="AJ3">
        <v>7.98</v>
      </c>
      <c r="AK3">
        <v>20.4</v>
      </c>
      <c r="AL3">
        <v>1</v>
      </c>
      <c r="AN3">
        <v>0</v>
      </c>
      <c r="AO3">
        <v>1</v>
      </c>
      <c r="AP3">
        <v>1</v>
      </c>
      <c r="AQ3">
        <v>0</v>
      </c>
      <c r="AR3">
        <v>0</v>
      </c>
      <c r="AT3">
        <v>0.32</v>
      </c>
      <c r="AU3" t="s">
        <v>27</v>
      </c>
      <c r="AV3">
        <v>0</v>
      </c>
      <c r="AW3">
        <v>2</v>
      </c>
      <c r="AX3">
        <v>34388882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Y3*Source!I33</f>
        <v>0.6933119999999999</v>
      </c>
      <c r="CY3">
        <f>AB3</f>
        <v>621.57</v>
      </c>
      <c r="CZ3">
        <f>AF3</f>
        <v>73</v>
      </c>
      <c r="DA3">
        <f>AJ3</f>
        <v>7.98</v>
      </c>
      <c r="DB3">
        <v>0</v>
      </c>
    </row>
    <row r="4" spans="1:106" ht="12.75">
      <c r="A4">
        <f>ROW(Source!A33)</f>
        <v>33</v>
      </c>
      <c r="B4">
        <v>34388368</v>
      </c>
      <c r="C4">
        <v>34388877</v>
      </c>
      <c r="D4">
        <v>7232456</v>
      </c>
      <c r="E4">
        <v>1</v>
      </c>
      <c r="F4">
        <v>1</v>
      </c>
      <c r="G4">
        <v>7157832</v>
      </c>
      <c r="H4">
        <v>3</v>
      </c>
      <c r="I4" t="s">
        <v>40</v>
      </c>
      <c r="J4" t="s">
        <v>43</v>
      </c>
      <c r="K4" t="s">
        <v>41</v>
      </c>
      <c r="L4">
        <v>1339</v>
      </c>
      <c r="N4">
        <v>1007</v>
      </c>
      <c r="O4" t="s">
        <v>42</v>
      </c>
      <c r="P4" t="s">
        <v>42</v>
      </c>
      <c r="Q4">
        <v>1</v>
      </c>
      <c r="W4">
        <v>0</v>
      </c>
      <c r="X4">
        <v>-419971176</v>
      </c>
      <c r="Y4">
        <v>10</v>
      </c>
      <c r="AA4">
        <v>573.91</v>
      </c>
      <c r="AB4">
        <v>0</v>
      </c>
      <c r="AC4">
        <v>0</v>
      </c>
      <c r="AD4">
        <v>0</v>
      </c>
      <c r="AE4">
        <v>104.99</v>
      </c>
      <c r="AF4">
        <v>0</v>
      </c>
      <c r="AG4">
        <v>0</v>
      </c>
      <c r="AH4">
        <v>0</v>
      </c>
      <c r="AI4">
        <v>5.45</v>
      </c>
      <c r="AJ4">
        <v>1</v>
      </c>
      <c r="AK4">
        <v>1</v>
      </c>
      <c r="AL4">
        <v>1</v>
      </c>
      <c r="AN4">
        <v>0</v>
      </c>
      <c r="AO4">
        <v>0</v>
      </c>
      <c r="AP4">
        <v>0</v>
      </c>
      <c r="AQ4">
        <v>0</v>
      </c>
      <c r="AR4">
        <v>0</v>
      </c>
      <c r="AT4">
        <v>10</v>
      </c>
      <c r="AV4">
        <v>0</v>
      </c>
      <c r="AW4">
        <v>1</v>
      </c>
      <c r="AX4">
        <v>-1</v>
      </c>
      <c r="AY4">
        <v>0</v>
      </c>
      <c r="AZ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Y4*Source!I33</f>
        <v>18.84</v>
      </c>
      <c r="CY4">
        <f>AA4</f>
        <v>573.91</v>
      </c>
      <c r="CZ4">
        <f>AE4</f>
        <v>104.99</v>
      </c>
      <c r="DA4">
        <f>AI4</f>
        <v>5.45</v>
      </c>
      <c r="DB4">
        <v>0</v>
      </c>
    </row>
    <row r="5" spans="1:106" ht="12.75">
      <c r="A5">
        <f>ROW(Source!A35)</f>
        <v>35</v>
      </c>
      <c r="B5">
        <v>34388368</v>
      </c>
      <c r="C5">
        <v>34388885</v>
      </c>
      <c r="D5">
        <v>7232456</v>
      </c>
      <c r="E5">
        <v>1</v>
      </c>
      <c r="F5">
        <v>1</v>
      </c>
      <c r="G5">
        <v>7157832</v>
      </c>
      <c r="H5">
        <v>3</v>
      </c>
      <c r="I5" t="s">
        <v>40</v>
      </c>
      <c r="J5" t="s">
        <v>43</v>
      </c>
      <c r="K5" t="s">
        <v>41</v>
      </c>
      <c r="L5">
        <v>1339</v>
      </c>
      <c r="N5">
        <v>1007</v>
      </c>
      <c r="O5" t="s">
        <v>42</v>
      </c>
      <c r="P5" t="s">
        <v>42</v>
      </c>
      <c r="Q5">
        <v>1</v>
      </c>
      <c r="W5">
        <v>0</v>
      </c>
      <c r="X5">
        <v>-419971176</v>
      </c>
      <c r="Y5">
        <v>4</v>
      </c>
      <c r="AA5">
        <v>618.54</v>
      </c>
      <c r="AB5">
        <v>0</v>
      </c>
      <c r="AC5">
        <v>0</v>
      </c>
      <c r="AD5">
        <v>0</v>
      </c>
      <c r="AE5">
        <v>104.99</v>
      </c>
      <c r="AF5">
        <v>0</v>
      </c>
      <c r="AG5">
        <v>0</v>
      </c>
      <c r="AH5">
        <v>0</v>
      </c>
      <c r="AI5">
        <v>5.45</v>
      </c>
      <c r="AJ5">
        <v>1</v>
      </c>
      <c r="AK5">
        <v>1</v>
      </c>
      <c r="AL5">
        <v>1</v>
      </c>
      <c r="AN5">
        <v>0</v>
      </c>
      <c r="AO5">
        <v>0</v>
      </c>
      <c r="AP5">
        <v>0</v>
      </c>
      <c r="AQ5">
        <v>0</v>
      </c>
      <c r="AR5">
        <v>0</v>
      </c>
      <c r="AT5">
        <v>4</v>
      </c>
      <c r="AV5">
        <v>0</v>
      </c>
      <c r="AW5">
        <v>1</v>
      </c>
      <c r="AX5">
        <v>-1</v>
      </c>
      <c r="AY5">
        <v>0</v>
      </c>
      <c r="AZ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Y5*Source!I35</f>
        <v>20.68</v>
      </c>
      <c r="CY5">
        <f>AA5</f>
        <v>618.54</v>
      </c>
      <c r="CZ5">
        <f>AE5</f>
        <v>104.99</v>
      </c>
      <c r="DA5">
        <f>AI5</f>
        <v>5.45</v>
      </c>
      <c r="DB5">
        <v>0</v>
      </c>
    </row>
    <row r="6" spans="1:106" ht="12.75">
      <c r="A6">
        <f>ROW(Source!A37)</f>
        <v>37</v>
      </c>
      <c r="B6">
        <v>34388368</v>
      </c>
      <c r="C6">
        <v>34388888</v>
      </c>
      <c r="D6">
        <v>7157835</v>
      </c>
      <c r="E6">
        <v>7157832</v>
      </c>
      <c r="F6">
        <v>1</v>
      </c>
      <c r="G6">
        <v>7157832</v>
      </c>
      <c r="H6">
        <v>1</v>
      </c>
      <c r="I6" t="s">
        <v>399</v>
      </c>
      <c r="K6" t="s">
        <v>400</v>
      </c>
      <c r="L6">
        <v>1191</v>
      </c>
      <c r="N6">
        <v>1013</v>
      </c>
      <c r="O6" t="s">
        <v>401</v>
      </c>
      <c r="P6" t="s">
        <v>401</v>
      </c>
      <c r="Q6">
        <v>1</v>
      </c>
      <c r="W6">
        <v>0</v>
      </c>
      <c r="X6">
        <v>946207192</v>
      </c>
      <c r="Y6">
        <v>152.95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1</v>
      </c>
      <c r="AJ6">
        <v>1</v>
      </c>
      <c r="AK6">
        <v>1</v>
      </c>
      <c r="AL6">
        <v>1</v>
      </c>
      <c r="AN6">
        <v>0</v>
      </c>
      <c r="AO6">
        <v>1</v>
      </c>
      <c r="AP6">
        <v>1</v>
      </c>
      <c r="AQ6">
        <v>0</v>
      </c>
      <c r="AR6">
        <v>0</v>
      </c>
      <c r="AT6">
        <v>133</v>
      </c>
      <c r="AU6" t="s">
        <v>27</v>
      </c>
      <c r="AV6">
        <v>1</v>
      </c>
      <c r="AW6">
        <v>2</v>
      </c>
      <c r="AX6">
        <v>34388892</v>
      </c>
      <c r="AY6">
        <v>1</v>
      </c>
      <c r="AZ6">
        <v>0</v>
      </c>
      <c r="BA6">
        <v>5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Y6*Source!I37</f>
        <v>96.0526</v>
      </c>
      <c r="CY6">
        <f>AD6</f>
        <v>0</v>
      </c>
      <c r="CZ6">
        <f>AH6</f>
        <v>0</v>
      </c>
      <c r="DA6">
        <f>AL6</f>
        <v>1</v>
      </c>
      <c r="DB6">
        <v>0</v>
      </c>
    </row>
    <row r="7" spans="1:106" ht="12.75">
      <c r="A7">
        <f>ROW(Source!A37)</f>
        <v>37</v>
      </c>
      <c r="B7">
        <v>34388368</v>
      </c>
      <c r="C7">
        <v>34388888</v>
      </c>
      <c r="D7">
        <v>7182707</v>
      </c>
      <c r="E7">
        <v>7157832</v>
      </c>
      <c r="F7">
        <v>1</v>
      </c>
      <c r="G7">
        <v>7157832</v>
      </c>
      <c r="H7">
        <v>3</v>
      </c>
      <c r="I7" t="s">
        <v>405</v>
      </c>
      <c r="K7" t="s">
        <v>406</v>
      </c>
      <c r="L7">
        <v>1344</v>
      </c>
      <c r="N7">
        <v>1008</v>
      </c>
      <c r="O7" t="s">
        <v>407</v>
      </c>
      <c r="P7" t="s">
        <v>407</v>
      </c>
      <c r="Q7">
        <v>1</v>
      </c>
      <c r="W7">
        <v>0</v>
      </c>
      <c r="X7">
        <v>-360884371</v>
      </c>
      <c r="Y7">
        <v>44.38</v>
      </c>
      <c r="AA7">
        <v>1.08</v>
      </c>
      <c r="AB7">
        <v>0</v>
      </c>
      <c r="AC7">
        <v>0</v>
      </c>
      <c r="AD7">
        <v>0</v>
      </c>
      <c r="AE7">
        <v>1</v>
      </c>
      <c r="AF7">
        <v>0</v>
      </c>
      <c r="AG7">
        <v>0</v>
      </c>
      <c r="AH7">
        <v>0</v>
      </c>
      <c r="AI7">
        <v>1</v>
      </c>
      <c r="AJ7">
        <v>1</v>
      </c>
      <c r="AK7">
        <v>1</v>
      </c>
      <c r="AL7">
        <v>1</v>
      </c>
      <c r="AN7">
        <v>0</v>
      </c>
      <c r="AO7">
        <v>1</v>
      </c>
      <c r="AP7">
        <v>0</v>
      </c>
      <c r="AQ7">
        <v>0</v>
      </c>
      <c r="AR7">
        <v>0</v>
      </c>
      <c r="AT7">
        <v>44.38</v>
      </c>
      <c r="AV7">
        <v>0</v>
      </c>
      <c r="AW7">
        <v>2</v>
      </c>
      <c r="AX7">
        <v>34388893</v>
      </c>
      <c r="AY7">
        <v>1</v>
      </c>
      <c r="AZ7">
        <v>0</v>
      </c>
      <c r="BA7">
        <v>6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Y7*Source!I37</f>
        <v>27.87064</v>
      </c>
      <c r="CY7">
        <f>AA7</f>
        <v>1.08</v>
      </c>
      <c r="CZ7">
        <f>AE7</f>
        <v>1</v>
      </c>
      <c r="DA7">
        <f>AI7</f>
        <v>1</v>
      </c>
      <c r="DB7">
        <v>0</v>
      </c>
    </row>
    <row r="8" spans="1:106" ht="12.75">
      <c r="A8">
        <f>ROW(Source!A37)</f>
        <v>37</v>
      </c>
      <c r="B8">
        <v>34388368</v>
      </c>
      <c r="C8">
        <v>34388888</v>
      </c>
      <c r="D8">
        <v>0</v>
      </c>
      <c r="E8">
        <v>0</v>
      </c>
      <c r="F8">
        <v>1</v>
      </c>
      <c r="G8">
        <v>7157832</v>
      </c>
      <c r="H8">
        <v>3</v>
      </c>
      <c r="I8" t="s">
        <v>62</v>
      </c>
      <c r="K8" t="s">
        <v>63</v>
      </c>
      <c r="L8">
        <v>1303</v>
      </c>
      <c r="N8">
        <v>1003</v>
      </c>
      <c r="O8" t="s">
        <v>57</v>
      </c>
      <c r="P8" t="s">
        <v>57</v>
      </c>
      <c r="Q8">
        <v>1000</v>
      </c>
      <c r="W8">
        <v>0</v>
      </c>
      <c r="X8">
        <v>-1313991354</v>
      </c>
      <c r="Y8">
        <v>1</v>
      </c>
      <c r="AA8">
        <v>778686.44</v>
      </c>
      <c r="AB8">
        <v>0</v>
      </c>
      <c r="AC8">
        <v>0</v>
      </c>
      <c r="AD8">
        <v>0</v>
      </c>
      <c r="AE8">
        <v>720338.98</v>
      </c>
      <c r="AF8">
        <v>0</v>
      </c>
      <c r="AG8">
        <v>0</v>
      </c>
      <c r="AH8">
        <v>0</v>
      </c>
      <c r="AI8">
        <v>1</v>
      </c>
      <c r="AJ8">
        <v>1</v>
      </c>
      <c r="AK8">
        <v>1</v>
      </c>
      <c r="AL8">
        <v>1</v>
      </c>
      <c r="AN8">
        <v>0</v>
      </c>
      <c r="AO8">
        <v>0</v>
      </c>
      <c r="AP8">
        <v>0</v>
      </c>
      <c r="AQ8">
        <v>0</v>
      </c>
      <c r="AR8">
        <v>0</v>
      </c>
      <c r="AT8">
        <v>1</v>
      </c>
      <c r="AV8">
        <v>0</v>
      </c>
      <c r="AW8">
        <v>1</v>
      </c>
      <c r="AX8">
        <v>-1</v>
      </c>
      <c r="AY8">
        <v>0</v>
      </c>
      <c r="AZ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Y8*Source!I37</f>
        <v>0.628</v>
      </c>
      <c r="CY8">
        <f>AA8</f>
        <v>778686.44</v>
      </c>
      <c r="CZ8">
        <f>AE8</f>
        <v>720338.98</v>
      </c>
      <c r="DA8">
        <f>AI8</f>
        <v>1</v>
      </c>
      <c r="DB8">
        <v>0</v>
      </c>
    </row>
    <row r="9" spans="1:106" ht="12.75">
      <c r="A9">
        <f>ROW(Source!A39)</f>
        <v>39</v>
      </c>
      <c r="B9">
        <v>34388368</v>
      </c>
      <c r="C9">
        <v>34388896</v>
      </c>
      <c r="D9">
        <v>7157835</v>
      </c>
      <c r="E9">
        <v>7157832</v>
      </c>
      <c r="F9">
        <v>1</v>
      </c>
      <c r="G9">
        <v>7157832</v>
      </c>
      <c r="H9">
        <v>1</v>
      </c>
      <c r="I9" t="s">
        <v>399</v>
      </c>
      <c r="K9" t="s">
        <v>400</v>
      </c>
      <c r="L9">
        <v>1191</v>
      </c>
      <c r="N9">
        <v>1013</v>
      </c>
      <c r="O9" t="s">
        <v>401</v>
      </c>
      <c r="P9" t="s">
        <v>401</v>
      </c>
      <c r="Q9">
        <v>1</v>
      </c>
      <c r="W9">
        <v>0</v>
      </c>
      <c r="X9">
        <v>946207192</v>
      </c>
      <c r="Y9">
        <v>123.096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1</v>
      </c>
      <c r="AJ9">
        <v>1</v>
      </c>
      <c r="AK9">
        <v>1</v>
      </c>
      <c r="AL9">
        <v>1</v>
      </c>
      <c r="AN9">
        <v>0</v>
      </c>
      <c r="AO9">
        <v>1</v>
      </c>
      <c r="AP9">
        <v>1</v>
      </c>
      <c r="AQ9">
        <v>0</v>
      </c>
      <c r="AR9">
        <v>0</v>
      </c>
      <c r="AT9">
        <v>107.04</v>
      </c>
      <c r="AU9" t="s">
        <v>27</v>
      </c>
      <c r="AV9">
        <v>1</v>
      </c>
      <c r="AW9">
        <v>2</v>
      </c>
      <c r="AX9">
        <v>34388899</v>
      </c>
      <c r="AY9">
        <v>1</v>
      </c>
      <c r="AZ9">
        <v>0</v>
      </c>
      <c r="BA9">
        <v>8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Y9*Source!I39</f>
        <v>50.9125056</v>
      </c>
      <c r="CY9">
        <f>AD9</f>
        <v>0</v>
      </c>
      <c r="CZ9">
        <f>AH9</f>
        <v>0</v>
      </c>
      <c r="DA9">
        <f>AL9</f>
        <v>1</v>
      </c>
      <c r="DB9">
        <v>0</v>
      </c>
    </row>
    <row r="10" spans="1:106" ht="12.75">
      <c r="A10">
        <f>ROW(Source!A39)</f>
        <v>39</v>
      </c>
      <c r="B10">
        <v>34388368</v>
      </c>
      <c r="C10">
        <v>34388896</v>
      </c>
      <c r="D10">
        <v>7232456</v>
      </c>
      <c r="E10">
        <v>1</v>
      </c>
      <c r="F10">
        <v>1</v>
      </c>
      <c r="G10">
        <v>7157832</v>
      </c>
      <c r="H10">
        <v>3</v>
      </c>
      <c r="I10" t="s">
        <v>40</v>
      </c>
      <c r="J10" t="s">
        <v>43</v>
      </c>
      <c r="K10" t="s">
        <v>41</v>
      </c>
      <c r="L10">
        <v>1339</v>
      </c>
      <c r="N10">
        <v>1007</v>
      </c>
      <c r="O10" t="s">
        <v>42</v>
      </c>
      <c r="P10" t="s">
        <v>42</v>
      </c>
      <c r="Q10">
        <v>1</v>
      </c>
      <c r="W10">
        <v>0</v>
      </c>
      <c r="X10">
        <v>-419971176</v>
      </c>
      <c r="Y10">
        <v>100</v>
      </c>
      <c r="AA10">
        <v>572.2</v>
      </c>
      <c r="AB10">
        <v>0</v>
      </c>
      <c r="AC10">
        <v>0</v>
      </c>
      <c r="AD10">
        <v>0</v>
      </c>
      <c r="AE10">
        <v>104.99</v>
      </c>
      <c r="AF10">
        <v>0</v>
      </c>
      <c r="AG10">
        <v>0</v>
      </c>
      <c r="AH10">
        <v>0</v>
      </c>
      <c r="AI10">
        <v>5.45</v>
      </c>
      <c r="AJ10">
        <v>1</v>
      </c>
      <c r="AK10">
        <v>1</v>
      </c>
      <c r="AL10">
        <v>1</v>
      </c>
      <c r="AN10">
        <v>0</v>
      </c>
      <c r="AO10">
        <v>0</v>
      </c>
      <c r="AP10">
        <v>0</v>
      </c>
      <c r="AQ10">
        <v>0</v>
      </c>
      <c r="AR10">
        <v>0</v>
      </c>
      <c r="AT10">
        <v>100</v>
      </c>
      <c r="AV10">
        <v>0</v>
      </c>
      <c r="AW10">
        <v>1</v>
      </c>
      <c r="AX10">
        <v>-1</v>
      </c>
      <c r="AY10">
        <v>0</v>
      </c>
      <c r="AZ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Y10*Source!I39</f>
        <v>41.36</v>
      </c>
      <c r="CY10">
        <f>AA10</f>
        <v>572.2</v>
      </c>
      <c r="CZ10">
        <f>AE10</f>
        <v>104.99</v>
      </c>
      <c r="DA10">
        <f>AI10</f>
        <v>5.45</v>
      </c>
      <c r="DB10">
        <v>0</v>
      </c>
    </row>
    <row r="11" spans="1:106" ht="12.75">
      <c r="A11">
        <f>ROW(Source!A41)</f>
        <v>41</v>
      </c>
      <c r="B11">
        <v>34388368</v>
      </c>
      <c r="C11">
        <v>34388901</v>
      </c>
      <c r="D11">
        <v>7157835</v>
      </c>
      <c r="E11">
        <v>7157832</v>
      </c>
      <c r="F11">
        <v>1</v>
      </c>
      <c r="G11">
        <v>7157832</v>
      </c>
      <c r="H11">
        <v>1</v>
      </c>
      <c r="I11" t="s">
        <v>399</v>
      </c>
      <c r="K11" t="s">
        <v>400</v>
      </c>
      <c r="L11">
        <v>1191</v>
      </c>
      <c r="N11">
        <v>1013</v>
      </c>
      <c r="O11" t="s">
        <v>401</v>
      </c>
      <c r="P11" t="s">
        <v>401</v>
      </c>
      <c r="Q11">
        <v>1</v>
      </c>
      <c r="W11">
        <v>0</v>
      </c>
      <c r="X11">
        <v>946207192</v>
      </c>
      <c r="Y11">
        <v>3.4959999999999996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1</v>
      </c>
      <c r="AJ11">
        <v>1</v>
      </c>
      <c r="AK11">
        <v>1</v>
      </c>
      <c r="AL11">
        <v>1</v>
      </c>
      <c r="AN11">
        <v>0</v>
      </c>
      <c r="AO11">
        <v>1</v>
      </c>
      <c r="AP11">
        <v>1</v>
      </c>
      <c r="AQ11">
        <v>0</v>
      </c>
      <c r="AR11">
        <v>0</v>
      </c>
      <c r="AT11">
        <v>3.04</v>
      </c>
      <c r="AU11" t="s">
        <v>27</v>
      </c>
      <c r="AV11">
        <v>1</v>
      </c>
      <c r="AW11">
        <v>2</v>
      </c>
      <c r="AX11">
        <v>34388904</v>
      </c>
      <c r="AY11">
        <v>1</v>
      </c>
      <c r="AZ11">
        <v>0</v>
      </c>
      <c r="BA11">
        <v>9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Y11*Source!I41</f>
        <v>24.471999999999998</v>
      </c>
      <c r="CY11">
        <f>AD11</f>
        <v>0</v>
      </c>
      <c r="CZ11">
        <f>AH11</f>
        <v>0</v>
      </c>
      <c r="DA11">
        <f>AL11</f>
        <v>1</v>
      </c>
      <c r="DB11">
        <v>0</v>
      </c>
    </row>
    <row r="12" spans="1:106" ht="12.75">
      <c r="A12">
        <f>ROW(Source!A41)</f>
        <v>41</v>
      </c>
      <c r="B12">
        <v>34388368</v>
      </c>
      <c r="C12">
        <v>34388901</v>
      </c>
      <c r="D12">
        <v>0</v>
      </c>
      <c r="E12">
        <v>0</v>
      </c>
      <c r="F12">
        <v>1</v>
      </c>
      <c r="G12">
        <v>7157832</v>
      </c>
      <c r="H12">
        <v>3</v>
      </c>
      <c r="I12" t="s">
        <v>62</v>
      </c>
      <c r="K12" t="s">
        <v>78</v>
      </c>
      <c r="L12">
        <v>9974465</v>
      </c>
      <c r="N12">
        <v>1013</v>
      </c>
      <c r="O12" t="s">
        <v>79</v>
      </c>
      <c r="P12" t="s">
        <v>79</v>
      </c>
      <c r="Q12">
        <v>1</v>
      </c>
      <c r="W12">
        <v>0</v>
      </c>
      <c r="X12">
        <v>-1295970141</v>
      </c>
      <c r="Y12">
        <v>0.142857</v>
      </c>
      <c r="AA12">
        <v>16779.66</v>
      </c>
      <c r="AB12">
        <v>0</v>
      </c>
      <c r="AC12">
        <v>0</v>
      </c>
      <c r="AD12">
        <v>0</v>
      </c>
      <c r="AE12">
        <v>16779.66</v>
      </c>
      <c r="AF12">
        <v>0</v>
      </c>
      <c r="AG12">
        <v>0</v>
      </c>
      <c r="AH12">
        <v>0</v>
      </c>
      <c r="AI12">
        <v>1</v>
      </c>
      <c r="AJ12">
        <v>1</v>
      </c>
      <c r="AK12">
        <v>1</v>
      </c>
      <c r="AL12">
        <v>1</v>
      </c>
      <c r="AN12">
        <v>0</v>
      </c>
      <c r="AO12">
        <v>0</v>
      </c>
      <c r="AP12">
        <v>0</v>
      </c>
      <c r="AQ12">
        <v>0</v>
      </c>
      <c r="AR12">
        <v>0</v>
      </c>
      <c r="AT12">
        <v>0.142857</v>
      </c>
      <c r="AV12">
        <v>0</v>
      </c>
      <c r="AW12">
        <v>1</v>
      </c>
      <c r="AX12">
        <v>-1</v>
      </c>
      <c r="AY12">
        <v>0</v>
      </c>
      <c r="AZ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Y12*Source!I41</f>
        <v>0.9999990000000001</v>
      </c>
      <c r="CY12">
        <f>AA12</f>
        <v>16779.66</v>
      </c>
      <c r="CZ12">
        <f>AE12</f>
        <v>16779.66</v>
      </c>
      <c r="DA12">
        <f>AI12</f>
        <v>1</v>
      </c>
      <c r="DB12">
        <v>0</v>
      </c>
    </row>
    <row r="13" spans="1:106" ht="12.75">
      <c r="A13">
        <f>ROW(Source!A43)</f>
        <v>43</v>
      </c>
      <c r="B13">
        <v>34388368</v>
      </c>
      <c r="C13">
        <v>34388907</v>
      </c>
      <c r="D13">
        <v>7157835</v>
      </c>
      <c r="E13">
        <v>7157832</v>
      </c>
      <c r="F13">
        <v>1</v>
      </c>
      <c r="G13">
        <v>7157832</v>
      </c>
      <c r="H13">
        <v>1</v>
      </c>
      <c r="I13" t="s">
        <v>399</v>
      </c>
      <c r="K13" t="s">
        <v>400</v>
      </c>
      <c r="L13">
        <v>1191</v>
      </c>
      <c r="N13">
        <v>1013</v>
      </c>
      <c r="O13" t="s">
        <v>401</v>
      </c>
      <c r="P13" t="s">
        <v>401</v>
      </c>
      <c r="Q13">
        <v>1</v>
      </c>
      <c r="W13">
        <v>0</v>
      </c>
      <c r="X13">
        <v>946207192</v>
      </c>
      <c r="Y13">
        <v>123.096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1</v>
      </c>
      <c r="AJ13">
        <v>1</v>
      </c>
      <c r="AK13">
        <v>1</v>
      </c>
      <c r="AL13">
        <v>1</v>
      </c>
      <c r="AN13">
        <v>0</v>
      </c>
      <c r="AO13">
        <v>1</v>
      </c>
      <c r="AP13">
        <v>1</v>
      </c>
      <c r="AQ13">
        <v>0</v>
      </c>
      <c r="AR13">
        <v>0</v>
      </c>
      <c r="AT13">
        <v>107.04</v>
      </c>
      <c r="AU13" t="s">
        <v>27</v>
      </c>
      <c r="AV13">
        <v>1</v>
      </c>
      <c r="AW13">
        <v>2</v>
      </c>
      <c r="AX13">
        <v>34388909</v>
      </c>
      <c r="AY13">
        <v>1</v>
      </c>
      <c r="AZ13">
        <v>0</v>
      </c>
      <c r="BA13">
        <v>11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Y13*Source!I43</f>
        <v>367.256916</v>
      </c>
      <c r="CY13">
        <f>AD13</f>
        <v>0</v>
      </c>
      <c r="CZ13">
        <f>AH13</f>
        <v>0</v>
      </c>
      <c r="DA13">
        <f>AL13</f>
        <v>1</v>
      </c>
      <c r="DB13">
        <v>0</v>
      </c>
    </row>
    <row r="14" spans="1:106" ht="12.75">
      <c r="A14">
        <f>ROW(Source!A44)</f>
        <v>44</v>
      </c>
      <c r="B14">
        <v>34388368</v>
      </c>
      <c r="C14">
        <v>34388910</v>
      </c>
      <c r="D14">
        <v>7157835</v>
      </c>
      <c r="E14">
        <v>7157832</v>
      </c>
      <c r="F14">
        <v>1</v>
      </c>
      <c r="G14">
        <v>7157832</v>
      </c>
      <c r="H14">
        <v>1</v>
      </c>
      <c r="I14" t="s">
        <v>399</v>
      </c>
      <c r="K14" t="s">
        <v>400</v>
      </c>
      <c r="L14">
        <v>1191</v>
      </c>
      <c r="N14">
        <v>1013</v>
      </c>
      <c r="O14" t="s">
        <v>401</v>
      </c>
      <c r="P14" t="s">
        <v>401</v>
      </c>
      <c r="Q14">
        <v>1</v>
      </c>
      <c r="W14">
        <v>0</v>
      </c>
      <c r="X14">
        <v>946207192</v>
      </c>
      <c r="Y14">
        <v>83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1</v>
      </c>
      <c r="AJ14">
        <v>1</v>
      </c>
      <c r="AK14">
        <v>1</v>
      </c>
      <c r="AL14">
        <v>1</v>
      </c>
      <c r="AN14">
        <v>0</v>
      </c>
      <c r="AO14">
        <v>1</v>
      </c>
      <c r="AP14">
        <v>0</v>
      </c>
      <c r="AQ14">
        <v>0</v>
      </c>
      <c r="AR14">
        <v>0</v>
      </c>
      <c r="AT14">
        <v>83</v>
      </c>
      <c r="AV14">
        <v>1</v>
      </c>
      <c r="AW14">
        <v>2</v>
      </c>
      <c r="AX14">
        <v>34388912</v>
      </c>
      <c r="AY14">
        <v>1</v>
      </c>
      <c r="AZ14">
        <v>0</v>
      </c>
      <c r="BA14">
        <v>12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Y14*Source!I44</f>
        <v>67.1304</v>
      </c>
      <c r="CY14">
        <f>AD14</f>
        <v>0</v>
      </c>
      <c r="CZ14">
        <f>AH14</f>
        <v>0</v>
      </c>
      <c r="DA14">
        <f>AL14</f>
        <v>1</v>
      </c>
      <c r="DB14">
        <v>0</v>
      </c>
    </row>
    <row r="15" spans="1:106" ht="12.75">
      <c r="A15">
        <f>ROW(Source!A81)</f>
        <v>81</v>
      </c>
      <c r="B15">
        <v>34388368</v>
      </c>
      <c r="C15">
        <v>34388918</v>
      </c>
      <c r="D15">
        <v>0</v>
      </c>
      <c r="E15">
        <v>0</v>
      </c>
      <c r="F15">
        <v>1</v>
      </c>
      <c r="G15">
        <v>7157832</v>
      </c>
      <c r="H15">
        <v>3</v>
      </c>
      <c r="I15" t="s">
        <v>62</v>
      </c>
      <c r="K15" t="s">
        <v>170</v>
      </c>
      <c r="L15">
        <v>1371</v>
      </c>
      <c r="N15">
        <v>1013</v>
      </c>
      <c r="O15" t="s">
        <v>165</v>
      </c>
      <c r="P15" t="s">
        <v>165</v>
      </c>
      <c r="Q15">
        <v>1</v>
      </c>
      <c r="W15">
        <v>0</v>
      </c>
      <c r="X15">
        <v>-1959680641</v>
      </c>
      <c r="Y15">
        <v>1</v>
      </c>
      <c r="AA15">
        <v>18970.34</v>
      </c>
      <c r="AB15">
        <v>0</v>
      </c>
      <c r="AC15">
        <v>0</v>
      </c>
      <c r="AD15">
        <v>0</v>
      </c>
      <c r="AE15">
        <v>18970.34</v>
      </c>
      <c r="AF15">
        <v>0</v>
      </c>
      <c r="AG15">
        <v>0</v>
      </c>
      <c r="AH15">
        <v>0</v>
      </c>
      <c r="AI15">
        <v>1</v>
      </c>
      <c r="AJ15">
        <v>1</v>
      </c>
      <c r="AK15">
        <v>1</v>
      </c>
      <c r="AL15">
        <v>1</v>
      </c>
      <c r="AN15">
        <v>0</v>
      </c>
      <c r="AO15">
        <v>0</v>
      </c>
      <c r="AP15">
        <v>0</v>
      </c>
      <c r="AQ15">
        <v>0</v>
      </c>
      <c r="AR15">
        <v>0</v>
      </c>
      <c r="AT15">
        <v>1</v>
      </c>
      <c r="AV15">
        <v>0</v>
      </c>
      <c r="AW15">
        <v>1</v>
      </c>
      <c r="AX15">
        <v>-1</v>
      </c>
      <c r="AY15">
        <v>0</v>
      </c>
      <c r="AZ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Y15*Source!I81</f>
        <v>2</v>
      </c>
      <c r="CY15">
        <f>AA15</f>
        <v>18970.34</v>
      </c>
      <c r="CZ15">
        <f>AE15</f>
        <v>18970.34</v>
      </c>
      <c r="DA15">
        <f>AI15</f>
        <v>1</v>
      </c>
      <c r="DB15">
        <v>0</v>
      </c>
    </row>
    <row r="16" spans="1:106" ht="12.75">
      <c r="A16">
        <f>ROW(Source!A83)</f>
        <v>83</v>
      </c>
      <c r="B16">
        <v>34388368</v>
      </c>
      <c r="C16">
        <v>34388921</v>
      </c>
      <c r="D16">
        <v>0</v>
      </c>
      <c r="E16">
        <v>0</v>
      </c>
      <c r="F16">
        <v>1</v>
      </c>
      <c r="G16">
        <v>7157832</v>
      </c>
      <c r="H16">
        <v>3</v>
      </c>
      <c r="I16" t="s">
        <v>62</v>
      </c>
      <c r="K16" t="s">
        <v>177</v>
      </c>
      <c r="L16">
        <v>1371</v>
      </c>
      <c r="N16">
        <v>1013</v>
      </c>
      <c r="O16" t="s">
        <v>165</v>
      </c>
      <c r="P16" t="s">
        <v>165</v>
      </c>
      <c r="Q16">
        <v>1</v>
      </c>
      <c r="W16">
        <v>0</v>
      </c>
      <c r="X16">
        <v>1367263978</v>
      </c>
      <c r="Y16">
        <v>1</v>
      </c>
      <c r="AA16">
        <v>10593.22</v>
      </c>
      <c r="AB16">
        <v>0</v>
      </c>
      <c r="AC16">
        <v>0</v>
      </c>
      <c r="AD16">
        <v>0</v>
      </c>
      <c r="AE16">
        <v>10593.22</v>
      </c>
      <c r="AF16">
        <v>0</v>
      </c>
      <c r="AG16">
        <v>0</v>
      </c>
      <c r="AH16">
        <v>0</v>
      </c>
      <c r="AI16">
        <v>1</v>
      </c>
      <c r="AJ16">
        <v>1</v>
      </c>
      <c r="AK16">
        <v>1</v>
      </c>
      <c r="AL16">
        <v>1</v>
      </c>
      <c r="AN16">
        <v>0</v>
      </c>
      <c r="AO16">
        <v>0</v>
      </c>
      <c r="AP16">
        <v>0</v>
      </c>
      <c r="AQ16">
        <v>0</v>
      </c>
      <c r="AR16">
        <v>0</v>
      </c>
      <c r="AT16">
        <v>1</v>
      </c>
      <c r="AV16">
        <v>0</v>
      </c>
      <c r="AW16">
        <v>1</v>
      </c>
      <c r="AX16">
        <v>-1</v>
      </c>
      <c r="AY16">
        <v>0</v>
      </c>
      <c r="AZ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Y16*Source!I83</f>
        <v>12</v>
      </c>
      <c r="CY16">
        <f>AA16</f>
        <v>10593.22</v>
      </c>
      <c r="CZ16">
        <f>AE16</f>
        <v>10593.22</v>
      </c>
      <c r="DA16">
        <f>AI16</f>
        <v>1</v>
      </c>
      <c r="DB16">
        <v>0</v>
      </c>
    </row>
    <row r="17" spans="1:106" ht="12.75">
      <c r="A17">
        <f>ROW(Source!A154)</f>
        <v>154</v>
      </c>
      <c r="B17">
        <v>34388368</v>
      </c>
      <c r="C17">
        <v>34388932</v>
      </c>
      <c r="D17">
        <v>7157835</v>
      </c>
      <c r="E17">
        <v>7157832</v>
      </c>
      <c r="F17">
        <v>1</v>
      </c>
      <c r="G17">
        <v>7157832</v>
      </c>
      <c r="H17">
        <v>1</v>
      </c>
      <c r="I17" t="s">
        <v>399</v>
      </c>
      <c r="K17" t="s">
        <v>400</v>
      </c>
      <c r="L17">
        <v>1191</v>
      </c>
      <c r="N17">
        <v>1013</v>
      </c>
      <c r="O17" t="s">
        <v>401</v>
      </c>
      <c r="P17" t="s">
        <v>401</v>
      </c>
      <c r="Q17">
        <v>1</v>
      </c>
      <c r="W17">
        <v>0</v>
      </c>
      <c r="X17">
        <v>946207192</v>
      </c>
      <c r="Y17">
        <v>38.24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1</v>
      </c>
      <c r="AJ17">
        <v>1</v>
      </c>
      <c r="AK17">
        <v>1</v>
      </c>
      <c r="AL17">
        <v>1</v>
      </c>
      <c r="AN17">
        <v>0</v>
      </c>
      <c r="AO17">
        <v>1</v>
      </c>
      <c r="AP17">
        <v>0</v>
      </c>
      <c r="AQ17">
        <v>0</v>
      </c>
      <c r="AR17">
        <v>0</v>
      </c>
      <c r="AT17">
        <v>38.24</v>
      </c>
      <c r="AV17">
        <v>1</v>
      </c>
      <c r="AW17">
        <v>2</v>
      </c>
      <c r="AX17">
        <v>34388937</v>
      </c>
      <c r="AY17">
        <v>1</v>
      </c>
      <c r="AZ17">
        <v>0</v>
      </c>
      <c r="BA17">
        <v>13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Y17*Source!I154</f>
        <v>14.9136</v>
      </c>
      <c r="CY17">
        <f>AD17</f>
        <v>0</v>
      </c>
      <c r="CZ17">
        <f>AH17</f>
        <v>0</v>
      </c>
      <c r="DA17">
        <f>AL17</f>
        <v>1</v>
      </c>
      <c r="DB17">
        <v>0</v>
      </c>
    </row>
    <row r="18" spans="1:106" ht="12.75">
      <c r="A18">
        <f>ROW(Source!A154)</f>
        <v>154</v>
      </c>
      <c r="B18">
        <v>34388368</v>
      </c>
      <c r="C18">
        <v>34388932</v>
      </c>
      <c r="D18">
        <v>7231126</v>
      </c>
      <c r="E18">
        <v>1</v>
      </c>
      <c r="F18">
        <v>1</v>
      </c>
      <c r="G18">
        <v>7157832</v>
      </c>
      <c r="H18">
        <v>2</v>
      </c>
      <c r="I18" t="s">
        <v>408</v>
      </c>
      <c r="J18" t="s">
        <v>409</v>
      </c>
      <c r="K18" t="s">
        <v>410</v>
      </c>
      <c r="L18">
        <v>1368</v>
      </c>
      <c r="N18">
        <v>1011</v>
      </c>
      <c r="O18" t="s">
        <v>211</v>
      </c>
      <c r="P18" t="s">
        <v>211</v>
      </c>
      <c r="Q18">
        <v>1</v>
      </c>
      <c r="W18">
        <v>0</v>
      </c>
      <c r="X18">
        <v>331870461</v>
      </c>
      <c r="Y18">
        <v>7.7</v>
      </c>
      <c r="AA18">
        <v>0</v>
      </c>
      <c r="AB18">
        <v>413.54</v>
      </c>
      <c r="AC18">
        <v>284.71</v>
      </c>
      <c r="AD18">
        <v>0</v>
      </c>
      <c r="AE18">
        <v>0</v>
      </c>
      <c r="AF18">
        <v>41.62</v>
      </c>
      <c r="AG18">
        <v>13.33</v>
      </c>
      <c r="AH18">
        <v>0</v>
      </c>
      <c r="AI18">
        <v>1</v>
      </c>
      <c r="AJ18">
        <v>9.49</v>
      </c>
      <c r="AK18">
        <v>20.4</v>
      </c>
      <c r="AL18">
        <v>1</v>
      </c>
      <c r="AN18">
        <v>0</v>
      </c>
      <c r="AO18">
        <v>1</v>
      </c>
      <c r="AP18">
        <v>0</v>
      </c>
      <c r="AQ18">
        <v>0</v>
      </c>
      <c r="AR18">
        <v>0</v>
      </c>
      <c r="AT18">
        <v>7.7</v>
      </c>
      <c r="AV18">
        <v>0</v>
      </c>
      <c r="AW18">
        <v>2</v>
      </c>
      <c r="AX18">
        <v>34388938</v>
      </c>
      <c r="AY18">
        <v>1</v>
      </c>
      <c r="AZ18">
        <v>0</v>
      </c>
      <c r="BA18">
        <v>14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Y18*Source!I154</f>
        <v>3.003</v>
      </c>
      <c r="CY18">
        <f>AB18</f>
        <v>413.54</v>
      </c>
      <c r="CZ18">
        <f>AF18</f>
        <v>41.62</v>
      </c>
      <c r="DA18">
        <f>AJ18</f>
        <v>9.49</v>
      </c>
      <c r="DB18">
        <v>0</v>
      </c>
    </row>
    <row r="19" spans="1:106" ht="12.75">
      <c r="A19">
        <f>ROW(Source!A154)</f>
        <v>154</v>
      </c>
      <c r="B19">
        <v>34388368</v>
      </c>
      <c r="C19">
        <v>34388932</v>
      </c>
      <c r="D19">
        <v>7231489</v>
      </c>
      <c r="E19">
        <v>1</v>
      </c>
      <c r="F19">
        <v>1</v>
      </c>
      <c r="G19">
        <v>7157832</v>
      </c>
      <c r="H19">
        <v>2</v>
      </c>
      <c r="I19" t="s">
        <v>411</v>
      </c>
      <c r="J19" t="s">
        <v>412</v>
      </c>
      <c r="K19" t="s">
        <v>413</v>
      </c>
      <c r="L19">
        <v>1368</v>
      </c>
      <c r="N19">
        <v>1011</v>
      </c>
      <c r="O19" t="s">
        <v>211</v>
      </c>
      <c r="P19" t="s">
        <v>211</v>
      </c>
      <c r="Q19">
        <v>1</v>
      </c>
      <c r="W19">
        <v>0</v>
      </c>
      <c r="X19">
        <v>1080624300</v>
      </c>
      <c r="Y19">
        <v>7.7</v>
      </c>
      <c r="AA19">
        <v>0</v>
      </c>
      <c r="AB19">
        <v>5.13</v>
      </c>
      <c r="AC19">
        <v>0.85</v>
      </c>
      <c r="AD19">
        <v>0</v>
      </c>
      <c r="AE19">
        <v>0</v>
      </c>
      <c r="AF19">
        <v>3.16</v>
      </c>
      <c r="AG19">
        <v>0.04</v>
      </c>
      <c r="AH19">
        <v>0</v>
      </c>
      <c r="AI19">
        <v>1</v>
      </c>
      <c r="AJ19">
        <v>1.55</v>
      </c>
      <c r="AK19">
        <v>20.4</v>
      </c>
      <c r="AL19">
        <v>1</v>
      </c>
      <c r="AN19">
        <v>0</v>
      </c>
      <c r="AO19">
        <v>1</v>
      </c>
      <c r="AP19">
        <v>0</v>
      </c>
      <c r="AQ19">
        <v>0</v>
      </c>
      <c r="AR19">
        <v>0</v>
      </c>
      <c r="AT19">
        <v>7.7</v>
      </c>
      <c r="AV19">
        <v>0</v>
      </c>
      <c r="AW19">
        <v>2</v>
      </c>
      <c r="AX19">
        <v>34388939</v>
      </c>
      <c r="AY19">
        <v>1</v>
      </c>
      <c r="AZ19">
        <v>0</v>
      </c>
      <c r="BA19">
        <v>15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Y19*Source!I154</f>
        <v>3.003</v>
      </c>
      <c r="CY19">
        <f>AB19</f>
        <v>5.13</v>
      </c>
      <c r="CZ19">
        <f>AF19</f>
        <v>3.16</v>
      </c>
      <c r="DA19">
        <f>AJ19</f>
        <v>1.55</v>
      </c>
      <c r="DB19">
        <v>0</v>
      </c>
    </row>
    <row r="20" spans="1:106" ht="12.75">
      <c r="A20">
        <f>ROW(Source!A154)</f>
        <v>154</v>
      </c>
      <c r="B20">
        <v>34388368</v>
      </c>
      <c r="C20">
        <v>34388932</v>
      </c>
      <c r="D20">
        <v>7182702</v>
      </c>
      <c r="E20">
        <v>7157832</v>
      </c>
      <c r="F20">
        <v>1</v>
      </c>
      <c r="G20">
        <v>7157832</v>
      </c>
      <c r="H20">
        <v>3</v>
      </c>
      <c r="I20" t="s">
        <v>405</v>
      </c>
      <c r="K20" t="s">
        <v>414</v>
      </c>
      <c r="L20">
        <v>1348</v>
      </c>
      <c r="N20">
        <v>1009</v>
      </c>
      <c r="O20" t="s">
        <v>265</v>
      </c>
      <c r="P20" t="s">
        <v>265</v>
      </c>
      <c r="Q20">
        <v>1000</v>
      </c>
      <c r="W20">
        <v>0</v>
      </c>
      <c r="X20">
        <v>-1541367988</v>
      </c>
      <c r="Y20">
        <v>6.1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1</v>
      </c>
      <c r="AJ20">
        <v>1</v>
      </c>
      <c r="AK20">
        <v>1</v>
      </c>
      <c r="AL20">
        <v>1</v>
      </c>
      <c r="AN20">
        <v>0</v>
      </c>
      <c r="AO20">
        <v>1</v>
      </c>
      <c r="AP20">
        <v>0</v>
      </c>
      <c r="AQ20">
        <v>0</v>
      </c>
      <c r="AR20">
        <v>0</v>
      </c>
      <c r="AT20">
        <v>6.1</v>
      </c>
      <c r="AV20">
        <v>0</v>
      </c>
      <c r="AW20">
        <v>2</v>
      </c>
      <c r="AX20">
        <v>34388940</v>
      </c>
      <c r="AY20">
        <v>1</v>
      </c>
      <c r="AZ20">
        <v>0</v>
      </c>
      <c r="BA20">
        <v>16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Y20*Source!I154</f>
        <v>2.379</v>
      </c>
      <c r="CY20">
        <f>AA20</f>
        <v>0</v>
      </c>
      <c r="CZ20">
        <f>AE20</f>
        <v>0</v>
      </c>
      <c r="DA20">
        <f>AI20</f>
        <v>1</v>
      </c>
      <c r="DB20">
        <v>0</v>
      </c>
    </row>
    <row r="21" spans="1:106" ht="12.75">
      <c r="A21">
        <f>ROW(Source!A155)</f>
        <v>155</v>
      </c>
      <c r="B21">
        <v>34388368</v>
      </c>
      <c r="C21">
        <v>34388941</v>
      </c>
      <c r="D21">
        <v>7157835</v>
      </c>
      <c r="E21">
        <v>7157832</v>
      </c>
      <c r="F21">
        <v>1</v>
      </c>
      <c r="G21">
        <v>7157832</v>
      </c>
      <c r="H21">
        <v>1</v>
      </c>
      <c r="I21" t="s">
        <v>399</v>
      </c>
      <c r="K21" t="s">
        <v>400</v>
      </c>
      <c r="L21">
        <v>1191</v>
      </c>
      <c r="N21">
        <v>1013</v>
      </c>
      <c r="O21" t="s">
        <v>401</v>
      </c>
      <c r="P21" t="s">
        <v>401</v>
      </c>
      <c r="Q21">
        <v>1</v>
      </c>
      <c r="W21">
        <v>0</v>
      </c>
      <c r="X21">
        <v>946207192</v>
      </c>
      <c r="Y21">
        <v>38.24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1</v>
      </c>
      <c r="AJ21">
        <v>1</v>
      </c>
      <c r="AK21">
        <v>1</v>
      </c>
      <c r="AL21">
        <v>1</v>
      </c>
      <c r="AN21">
        <v>0</v>
      </c>
      <c r="AO21">
        <v>1</v>
      </c>
      <c r="AP21">
        <v>0</v>
      </c>
      <c r="AQ21">
        <v>0</v>
      </c>
      <c r="AR21">
        <v>0</v>
      </c>
      <c r="AT21">
        <v>38.24</v>
      </c>
      <c r="AV21">
        <v>1</v>
      </c>
      <c r="AW21">
        <v>2</v>
      </c>
      <c r="AX21">
        <v>34388946</v>
      </c>
      <c r="AY21">
        <v>1</v>
      </c>
      <c r="AZ21">
        <v>0</v>
      </c>
      <c r="BA21">
        <v>17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Y21*Source!I155</f>
        <v>9.169952</v>
      </c>
      <c r="CY21">
        <f>AD21</f>
        <v>0</v>
      </c>
      <c r="CZ21">
        <f>AH21</f>
        <v>0</v>
      </c>
      <c r="DA21">
        <f>AL21</f>
        <v>1</v>
      </c>
      <c r="DB21">
        <v>0</v>
      </c>
    </row>
    <row r="22" spans="1:106" ht="12.75">
      <c r="A22">
        <f>ROW(Source!A155)</f>
        <v>155</v>
      </c>
      <c r="B22">
        <v>34388368</v>
      </c>
      <c r="C22">
        <v>34388941</v>
      </c>
      <c r="D22">
        <v>7231126</v>
      </c>
      <c r="E22">
        <v>1</v>
      </c>
      <c r="F22">
        <v>1</v>
      </c>
      <c r="G22">
        <v>7157832</v>
      </c>
      <c r="H22">
        <v>2</v>
      </c>
      <c r="I22" t="s">
        <v>408</v>
      </c>
      <c r="J22" t="s">
        <v>409</v>
      </c>
      <c r="K22" t="s">
        <v>410</v>
      </c>
      <c r="L22">
        <v>1368</v>
      </c>
      <c r="N22">
        <v>1011</v>
      </c>
      <c r="O22" t="s">
        <v>211</v>
      </c>
      <c r="P22" t="s">
        <v>211</v>
      </c>
      <c r="Q22">
        <v>1</v>
      </c>
      <c r="W22">
        <v>0</v>
      </c>
      <c r="X22">
        <v>331870461</v>
      </c>
      <c r="Y22">
        <v>7.7</v>
      </c>
      <c r="AA22">
        <v>0</v>
      </c>
      <c r="AB22">
        <v>413.54</v>
      </c>
      <c r="AC22">
        <v>284.71</v>
      </c>
      <c r="AD22">
        <v>0</v>
      </c>
      <c r="AE22">
        <v>0</v>
      </c>
      <c r="AF22">
        <v>41.62</v>
      </c>
      <c r="AG22">
        <v>13.33</v>
      </c>
      <c r="AH22">
        <v>0</v>
      </c>
      <c r="AI22">
        <v>1</v>
      </c>
      <c r="AJ22">
        <v>9.49</v>
      </c>
      <c r="AK22">
        <v>20.4</v>
      </c>
      <c r="AL22">
        <v>1</v>
      </c>
      <c r="AN22">
        <v>0</v>
      </c>
      <c r="AO22">
        <v>1</v>
      </c>
      <c r="AP22">
        <v>0</v>
      </c>
      <c r="AQ22">
        <v>0</v>
      </c>
      <c r="AR22">
        <v>0</v>
      </c>
      <c r="AT22">
        <v>7.7</v>
      </c>
      <c r="AV22">
        <v>0</v>
      </c>
      <c r="AW22">
        <v>2</v>
      </c>
      <c r="AX22">
        <v>34388947</v>
      </c>
      <c r="AY22">
        <v>1</v>
      </c>
      <c r="AZ22">
        <v>0</v>
      </c>
      <c r="BA22">
        <v>18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Y22*Source!I155</f>
        <v>1.8464600000000002</v>
      </c>
      <c r="CY22">
        <f>AB22</f>
        <v>413.54</v>
      </c>
      <c r="CZ22">
        <f>AF22</f>
        <v>41.62</v>
      </c>
      <c r="DA22">
        <f>AJ22</f>
        <v>9.49</v>
      </c>
      <c r="DB22">
        <v>0</v>
      </c>
    </row>
    <row r="23" spans="1:106" ht="12.75">
      <c r="A23">
        <f>ROW(Source!A155)</f>
        <v>155</v>
      </c>
      <c r="B23">
        <v>34388368</v>
      </c>
      <c r="C23">
        <v>34388941</v>
      </c>
      <c r="D23">
        <v>7231489</v>
      </c>
      <c r="E23">
        <v>1</v>
      </c>
      <c r="F23">
        <v>1</v>
      </c>
      <c r="G23">
        <v>7157832</v>
      </c>
      <c r="H23">
        <v>2</v>
      </c>
      <c r="I23" t="s">
        <v>411</v>
      </c>
      <c r="J23" t="s">
        <v>412</v>
      </c>
      <c r="K23" t="s">
        <v>413</v>
      </c>
      <c r="L23">
        <v>1368</v>
      </c>
      <c r="N23">
        <v>1011</v>
      </c>
      <c r="O23" t="s">
        <v>211</v>
      </c>
      <c r="P23" t="s">
        <v>211</v>
      </c>
      <c r="Q23">
        <v>1</v>
      </c>
      <c r="W23">
        <v>0</v>
      </c>
      <c r="X23">
        <v>1080624300</v>
      </c>
      <c r="Y23">
        <v>7.7</v>
      </c>
      <c r="AA23">
        <v>0</v>
      </c>
      <c r="AB23">
        <v>5.13</v>
      </c>
      <c r="AC23">
        <v>0.85</v>
      </c>
      <c r="AD23">
        <v>0</v>
      </c>
      <c r="AE23">
        <v>0</v>
      </c>
      <c r="AF23">
        <v>3.16</v>
      </c>
      <c r="AG23">
        <v>0.04</v>
      </c>
      <c r="AH23">
        <v>0</v>
      </c>
      <c r="AI23">
        <v>1</v>
      </c>
      <c r="AJ23">
        <v>1.55</v>
      </c>
      <c r="AK23">
        <v>20.4</v>
      </c>
      <c r="AL23">
        <v>1</v>
      </c>
      <c r="AN23">
        <v>0</v>
      </c>
      <c r="AO23">
        <v>1</v>
      </c>
      <c r="AP23">
        <v>0</v>
      </c>
      <c r="AQ23">
        <v>0</v>
      </c>
      <c r="AR23">
        <v>0</v>
      </c>
      <c r="AT23">
        <v>7.7</v>
      </c>
      <c r="AV23">
        <v>0</v>
      </c>
      <c r="AW23">
        <v>2</v>
      </c>
      <c r="AX23">
        <v>34388948</v>
      </c>
      <c r="AY23">
        <v>1</v>
      </c>
      <c r="AZ23">
        <v>0</v>
      </c>
      <c r="BA23">
        <v>19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Y23*Source!I155</f>
        <v>1.8464600000000002</v>
      </c>
      <c r="CY23">
        <f>AB23</f>
        <v>5.13</v>
      </c>
      <c r="CZ23">
        <f>AF23</f>
        <v>3.16</v>
      </c>
      <c r="DA23">
        <f>AJ23</f>
        <v>1.55</v>
      </c>
      <c r="DB23">
        <v>0</v>
      </c>
    </row>
    <row r="24" spans="1:106" ht="12.75">
      <c r="A24">
        <f>ROW(Source!A155)</f>
        <v>155</v>
      </c>
      <c r="B24">
        <v>34388368</v>
      </c>
      <c r="C24">
        <v>34388941</v>
      </c>
      <c r="D24">
        <v>7182702</v>
      </c>
      <c r="E24">
        <v>7157832</v>
      </c>
      <c r="F24">
        <v>1</v>
      </c>
      <c r="G24">
        <v>7157832</v>
      </c>
      <c r="H24">
        <v>3</v>
      </c>
      <c r="I24" t="s">
        <v>405</v>
      </c>
      <c r="K24" t="s">
        <v>414</v>
      </c>
      <c r="L24">
        <v>1348</v>
      </c>
      <c r="N24">
        <v>1009</v>
      </c>
      <c r="O24" t="s">
        <v>265</v>
      </c>
      <c r="P24" t="s">
        <v>265</v>
      </c>
      <c r="Q24">
        <v>1000</v>
      </c>
      <c r="W24">
        <v>0</v>
      </c>
      <c r="X24">
        <v>-1541367988</v>
      </c>
      <c r="Y24">
        <v>6.1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1</v>
      </c>
      <c r="AJ24">
        <v>1</v>
      </c>
      <c r="AK24">
        <v>1</v>
      </c>
      <c r="AL24">
        <v>1</v>
      </c>
      <c r="AN24">
        <v>0</v>
      </c>
      <c r="AO24">
        <v>1</v>
      </c>
      <c r="AP24">
        <v>0</v>
      </c>
      <c r="AQ24">
        <v>0</v>
      </c>
      <c r="AR24">
        <v>0</v>
      </c>
      <c r="AT24">
        <v>6.1</v>
      </c>
      <c r="AV24">
        <v>0</v>
      </c>
      <c r="AW24">
        <v>2</v>
      </c>
      <c r="AX24">
        <v>34388949</v>
      </c>
      <c r="AY24">
        <v>1</v>
      </c>
      <c r="AZ24">
        <v>0</v>
      </c>
      <c r="BA24">
        <v>20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Y24*Source!I155</f>
        <v>1.46278</v>
      </c>
      <c r="CY24">
        <f>AA24</f>
        <v>0</v>
      </c>
      <c r="CZ24">
        <f>AE24</f>
        <v>0</v>
      </c>
      <c r="DA24">
        <f>AI24</f>
        <v>1</v>
      </c>
      <c r="DB24">
        <v>0</v>
      </c>
    </row>
    <row r="25" spans="1:106" ht="12.75">
      <c r="A25">
        <f>ROW(Source!A156)</f>
        <v>156</v>
      </c>
      <c r="B25">
        <v>34388368</v>
      </c>
      <c r="C25">
        <v>34388950</v>
      </c>
      <c r="D25">
        <v>7157835</v>
      </c>
      <c r="E25">
        <v>7157832</v>
      </c>
      <c r="F25">
        <v>1</v>
      </c>
      <c r="G25">
        <v>7157832</v>
      </c>
      <c r="H25">
        <v>1</v>
      </c>
      <c r="I25" t="s">
        <v>399</v>
      </c>
      <c r="K25" t="s">
        <v>400</v>
      </c>
      <c r="L25">
        <v>1191</v>
      </c>
      <c r="N25">
        <v>1013</v>
      </c>
      <c r="O25" t="s">
        <v>401</v>
      </c>
      <c r="P25" t="s">
        <v>401</v>
      </c>
      <c r="Q25">
        <v>1</v>
      </c>
      <c r="W25">
        <v>0</v>
      </c>
      <c r="X25">
        <v>946207192</v>
      </c>
      <c r="Y25">
        <v>38.24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1</v>
      </c>
      <c r="AJ25">
        <v>1</v>
      </c>
      <c r="AK25">
        <v>1</v>
      </c>
      <c r="AL25">
        <v>1</v>
      </c>
      <c r="AN25">
        <v>0</v>
      </c>
      <c r="AO25">
        <v>1</v>
      </c>
      <c r="AP25">
        <v>0</v>
      </c>
      <c r="AQ25">
        <v>0</v>
      </c>
      <c r="AR25">
        <v>0</v>
      </c>
      <c r="AT25">
        <v>38.24</v>
      </c>
      <c r="AV25">
        <v>1</v>
      </c>
      <c r="AW25">
        <v>2</v>
      </c>
      <c r="AX25">
        <v>34388955</v>
      </c>
      <c r="AY25">
        <v>1</v>
      </c>
      <c r="AZ25">
        <v>0</v>
      </c>
      <c r="BA25">
        <v>21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Y25*Source!I156</f>
        <v>20.385744000000003</v>
      </c>
      <c r="CY25">
        <f>AD25</f>
        <v>0</v>
      </c>
      <c r="CZ25">
        <f>AH25</f>
        <v>0</v>
      </c>
      <c r="DA25">
        <f>AL25</f>
        <v>1</v>
      </c>
      <c r="DB25">
        <v>0</v>
      </c>
    </row>
    <row r="26" spans="1:106" ht="12.75">
      <c r="A26">
        <f>ROW(Source!A156)</f>
        <v>156</v>
      </c>
      <c r="B26">
        <v>34388368</v>
      </c>
      <c r="C26">
        <v>34388950</v>
      </c>
      <c r="D26">
        <v>7231126</v>
      </c>
      <c r="E26">
        <v>1</v>
      </c>
      <c r="F26">
        <v>1</v>
      </c>
      <c r="G26">
        <v>7157832</v>
      </c>
      <c r="H26">
        <v>2</v>
      </c>
      <c r="I26" t="s">
        <v>408</v>
      </c>
      <c r="J26" t="s">
        <v>409</v>
      </c>
      <c r="K26" t="s">
        <v>410</v>
      </c>
      <c r="L26">
        <v>1368</v>
      </c>
      <c r="N26">
        <v>1011</v>
      </c>
      <c r="O26" t="s">
        <v>211</v>
      </c>
      <c r="P26" t="s">
        <v>211</v>
      </c>
      <c r="Q26">
        <v>1</v>
      </c>
      <c r="W26">
        <v>0</v>
      </c>
      <c r="X26">
        <v>331870461</v>
      </c>
      <c r="Y26">
        <v>7.7</v>
      </c>
      <c r="AA26">
        <v>0</v>
      </c>
      <c r="AB26">
        <v>413.54</v>
      </c>
      <c r="AC26">
        <v>284.71</v>
      </c>
      <c r="AD26">
        <v>0</v>
      </c>
      <c r="AE26">
        <v>0</v>
      </c>
      <c r="AF26">
        <v>41.62</v>
      </c>
      <c r="AG26">
        <v>13.33</v>
      </c>
      <c r="AH26">
        <v>0</v>
      </c>
      <c r="AI26">
        <v>1</v>
      </c>
      <c r="AJ26">
        <v>9.49</v>
      </c>
      <c r="AK26">
        <v>20.4</v>
      </c>
      <c r="AL26">
        <v>1</v>
      </c>
      <c r="AN26">
        <v>0</v>
      </c>
      <c r="AO26">
        <v>1</v>
      </c>
      <c r="AP26">
        <v>0</v>
      </c>
      <c r="AQ26">
        <v>0</v>
      </c>
      <c r="AR26">
        <v>0</v>
      </c>
      <c r="AT26">
        <v>7.7</v>
      </c>
      <c r="AV26">
        <v>0</v>
      </c>
      <c r="AW26">
        <v>2</v>
      </c>
      <c r="AX26">
        <v>34388956</v>
      </c>
      <c r="AY26">
        <v>1</v>
      </c>
      <c r="AZ26">
        <v>0</v>
      </c>
      <c r="BA26">
        <v>22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Y26*Source!I156</f>
        <v>4.10487</v>
      </c>
      <c r="CY26">
        <f>AB26</f>
        <v>413.54</v>
      </c>
      <c r="CZ26">
        <f>AF26</f>
        <v>41.62</v>
      </c>
      <c r="DA26">
        <f>AJ26</f>
        <v>9.49</v>
      </c>
      <c r="DB26">
        <v>0</v>
      </c>
    </row>
    <row r="27" spans="1:106" ht="12.75">
      <c r="A27">
        <f>ROW(Source!A156)</f>
        <v>156</v>
      </c>
      <c r="B27">
        <v>34388368</v>
      </c>
      <c r="C27">
        <v>34388950</v>
      </c>
      <c r="D27">
        <v>7231489</v>
      </c>
      <c r="E27">
        <v>1</v>
      </c>
      <c r="F27">
        <v>1</v>
      </c>
      <c r="G27">
        <v>7157832</v>
      </c>
      <c r="H27">
        <v>2</v>
      </c>
      <c r="I27" t="s">
        <v>411</v>
      </c>
      <c r="J27" t="s">
        <v>412</v>
      </c>
      <c r="K27" t="s">
        <v>413</v>
      </c>
      <c r="L27">
        <v>1368</v>
      </c>
      <c r="N27">
        <v>1011</v>
      </c>
      <c r="O27" t="s">
        <v>211</v>
      </c>
      <c r="P27" t="s">
        <v>211</v>
      </c>
      <c r="Q27">
        <v>1</v>
      </c>
      <c r="W27">
        <v>0</v>
      </c>
      <c r="X27">
        <v>1080624300</v>
      </c>
      <c r="Y27">
        <v>7.7</v>
      </c>
      <c r="AA27">
        <v>0</v>
      </c>
      <c r="AB27">
        <v>5.13</v>
      </c>
      <c r="AC27">
        <v>0.85</v>
      </c>
      <c r="AD27">
        <v>0</v>
      </c>
      <c r="AE27">
        <v>0</v>
      </c>
      <c r="AF27">
        <v>3.16</v>
      </c>
      <c r="AG27">
        <v>0.04</v>
      </c>
      <c r="AH27">
        <v>0</v>
      </c>
      <c r="AI27">
        <v>1</v>
      </c>
      <c r="AJ27">
        <v>1.55</v>
      </c>
      <c r="AK27">
        <v>20.4</v>
      </c>
      <c r="AL27">
        <v>1</v>
      </c>
      <c r="AN27">
        <v>0</v>
      </c>
      <c r="AO27">
        <v>1</v>
      </c>
      <c r="AP27">
        <v>0</v>
      </c>
      <c r="AQ27">
        <v>0</v>
      </c>
      <c r="AR27">
        <v>0</v>
      </c>
      <c r="AT27">
        <v>7.7</v>
      </c>
      <c r="AV27">
        <v>0</v>
      </c>
      <c r="AW27">
        <v>2</v>
      </c>
      <c r="AX27">
        <v>34388957</v>
      </c>
      <c r="AY27">
        <v>1</v>
      </c>
      <c r="AZ27">
        <v>0</v>
      </c>
      <c r="BA27">
        <v>23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Y27*Source!I156</f>
        <v>4.10487</v>
      </c>
      <c r="CY27">
        <f>AB27</f>
        <v>5.13</v>
      </c>
      <c r="CZ27">
        <f>AF27</f>
        <v>3.16</v>
      </c>
      <c r="DA27">
        <f>AJ27</f>
        <v>1.55</v>
      </c>
      <c r="DB27">
        <v>0</v>
      </c>
    </row>
    <row r="28" spans="1:106" ht="12.75">
      <c r="A28">
        <f>ROW(Source!A156)</f>
        <v>156</v>
      </c>
      <c r="B28">
        <v>34388368</v>
      </c>
      <c r="C28">
        <v>34388950</v>
      </c>
      <c r="D28">
        <v>7182702</v>
      </c>
      <c r="E28">
        <v>7157832</v>
      </c>
      <c r="F28">
        <v>1</v>
      </c>
      <c r="G28">
        <v>7157832</v>
      </c>
      <c r="H28">
        <v>3</v>
      </c>
      <c r="I28" t="s">
        <v>405</v>
      </c>
      <c r="K28" t="s">
        <v>414</v>
      </c>
      <c r="L28">
        <v>1348</v>
      </c>
      <c r="N28">
        <v>1009</v>
      </c>
      <c r="O28" t="s">
        <v>265</v>
      </c>
      <c r="P28" t="s">
        <v>265</v>
      </c>
      <c r="Q28">
        <v>1000</v>
      </c>
      <c r="W28">
        <v>0</v>
      </c>
      <c r="X28">
        <v>-1541367988</v>
      </c>
      <c r="Y28">
        <v>6.1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1</v>
      </c>
      <c r="AJ28">
        <v>1</v>
      </c>
      <c r="AK28">
        <v>1</v>
      </c>
      <c r="AL28">
        <v>1</v>
      </c>
      <c r="AN28">
        <v>0</v>
      </c>
      <c r="AO28">
        <v>1</v>
      </c>
      <c r="AP28">
        <v>0</v>
      </c>
      <c r="AQ28">
        <v>0</v>
      </c>
      <c r="AR28">
        <v>0</v>
      </c>
      <c r="AT28">
        <v>6.1</v>
      </c>
      <c r="AV28">
        <v>0</v>
      </c>
      <c r="AW28">
        <v>2</v>
      </c>
      <c r="AX28">
        <v>34388958</v>
      </c>
      <c r="AY28">
        <v>1</v>
      </c>
      <c r="AZ28">
        <v>0</v>
      </c>
      <c r="BA28">
        <v>24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Y28*Source!I156</f>
        <v>3.25191</v>
      </c>
      <c r="CY28">
        <f>AA28</f>
        <v>0</v>
      </c>
      <c r="CZ28">
        <f>AE28</f>
        <v>0</v>
      </c>
      <c r="DA28">
        <f>AI28</f>
        <v>1</v>
      </c>
      <c r="DB28">
        <v>0</v>
      </c>
    </row>
    <row r="29" spans="1:106" ht="12.75">
      <c r="A29">
        <f>ROW(Source!A157)</f>
        <v>157</v>
      </c>
      <c r="B29">
        <v>34388368</v>
      </c>
      <c r="C29">
        <v>34388959</v>
      </c>
      <c r="D29">
        <v>7157835</v>
      </c>
      <c r="E29">
        <v>7157832</v>
      </c>
      <c r="F29">
        <v>1</v>
      </c>
      <c r="G29">
        <v>7157832</v>
      </c>
      <c r="H29">
        <v>1</v>
      </c>
      <c r="I29" t="s">
        <v>399</v>
      </c>
      <c r="K29" t="s">
        <v>400</v>
      </c>
      <c r="L29">
        <v>1191</v>
      </c>
      <c r="N29">
        <v>1013</v>
      </c>
      <c r="O29" t="s">
        <v>401</v>
      </c>
      <c r="P29" t="s">
        <v>401</v>
      </c>
      <c r="Q29">
        <v>1</v>
      </c>
      <c r="W29">
        <v>0</v>
      </c>
      <c r="X29">
        <v>946207192</v>
      </c>
      <c r="Y29">
        <v>38.24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1</v>
      </c>
      <c r="AJ29">
        <v>1</v>
      </c>
      <c r="AK29">
        <v>1</v>
      </c>
      <c r="AL29">
        <v>1</v>
      </c>
      <c r="AN29">
        <v>0</v>
      </c>
      <c r="AO29">
        <v>1</v>
      </c>
      <c r="AP29">
        <v>0</v>
      </c>
      <c r="AQ29">
        <v>0</v>
      </c>
      <c r="AR29">
        <v>0</v>
      </c>
      <c r="AT29">
        <v>38.24</v>
      </c>
      <c r="AV29">
        <v>1</v>
      </c>
      <c r="AW29">
        <v>2</v>
      </c>
      <c r="AX29">
        <v>34388964</v>
      </c>
      <c r="AY29">
        <v>1</v>
      </c>
      <c r="AZ29">
        <v>0</v>
      </c>
      <c r="BA29">
        <v>25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Y29*Source!I157</f>
        <v>10.791328</v>
      </c>
      <c r="CY29">
        <f>AD29</f>
        <v>0</v>
      </c>
      <c r="CZ29">
        <f>AH29</f>
        <v>0</v>
      </c>
      <c r="DA29">
        <f>AL29</f>
        <v>1</v>
      </c>
      <c r="DB29">
        <v>0</v>
      </c>
    </row>
    <row r="30" spans="1:106" ht="12.75">
      <c r="A30">
        <f>ROW(Source!A157)</f>
        <v>157</v>
      </c>
      <c r="B30">
        <v>34388368</v>
      </c>
      <c r="C30">
        <v>34388959</v>
      </c>
      <c r="D30">
        <v>7231126</v>
      </c>
      <c r="E30">
        <v>1</v>
      </c>
      <c r="F30">
        <v>1</v>
      </c>
      <c r="G30">
        <v>7157832</v>
      </c>
      <c r="H30">
        <v>2</v>
      </c>
      <c r="I30" t="s">
        <v>408</v>
      </c>
      <c r="J30" t="s">
        <v>409</v>
      </c>
      <c r="K30" t="s">
        <v>410</v>
      </c>
      <c r="L30">
        <v>1368</v>
      </c>
      <c r="N30">
        <v>1011</v>
      </c>
      <c r="O30" t="s">
        <v>211</v>
      </c>
      <c r="P30" t="s">
        <v>211</v>
      </c>
      <c r="Q30">
        <v>1</v>
      </c>
      <c r="W30">
        <v>0</v>
      </c>
      <c r="X30">
        <v>331870461</v>
      </c>
      <c r="Y30">
        <v>7.7</v>
      </c>
      <c r="AA30">
        <v>0</v>
      </c>
      <c r="AB30">
        <v>413.54</v>
      </c>
      <c r="AC30">
        <v>284.71</v>
      </c>
      <c r="AD30">
        <v>0</v>
      </c>
      <c r="AE30">
        <v>0</v>
      </c>
      <c r="AF30">
        <v>41.62</v>
      </c>
      <c r="AG30">
        <v>13.33</v>
      </c>
      <c r="AH30">
        <v>0</v>
      </c>
      <c r="AI30">
        <v>1</v>
      </c>
      <c r="AJ30">
        <v>9.49</v>
      </c>
      <c r="AK30">
        <v>20.4</v>
      </c>
      <c r="AL30">
        <v>1</v>
      </c>
      <c r="AN30">
        <v>0</v>
      </c>
      <c r="AO30">
        <v>1</v>
      </c>
      <c r="AP30">
        <v>0</v>
      </c>
      <c r="AQ30">
        <v>0</v>
      </c>
      <c r="AR30">
        <v>0</v>
      </c>
      <c r="AT30">
        <v>7.7</v>
      </c>
      <c r="AV30">
        <v>0</v>
      </c>
      <c r="AW30">
        <v>2</v>
      </c>
      <c r="AX30">
        <v>34388965</v>
      </c>
      <c r="AY30">
        <v>1</v>
      </c>
      <c r="AZ30">
        <v>0</v>
      </c>
      <c r="BA30">
        <v>26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Y30*Source!I157</f>
        <v>2.17294</v>
      </c>
      <c r="CY30">
        <f>AB30</f>
        <v>413.54</v>
      </c>
      <c r="CZ30">
        <f>AF30</f>
        <v>41.62</v>
      </c>
      <c r="DA30">
        <f>AJ30</f>
        <v>9.49</v>
      </c>
      <c r="DB30">
        <v>0</v>
      </c>
    </row>
    <row r="31" spans="1:106" ht="12.75">
      <c r="A31">
        <f>ROW(Source!A157)</f>
        <v>157</v>
      </c>
      <c r="B31">
        <v>34388368</v>
      </c>
      <c r="C31">
        <v>34388959</v>
      </c>
      <c r="D31">
        <v>7231489</v>
      </c>
      <c r="E31">
        <v>1</v>
      </c>
      <c r="F31">
        <v>1</v>
      </c>
      <c r="G31">
        <v>7157832</v>
      </c>
      <c r="H31">
        <v>2</v>
      </c>
      <c r="I31" t="s">
        <v>411</v>
      </c>
      <c r="J31" t="s">
        <v>412</v>
      </c>
      <c r="K31" t="s">
        <v>413</v>
      </c>
      <c r="L31">
        <v>1368</v>
      </c>
      <c r="N31">
        <v>1011</v>
      </c>
      <c r="O31" t="s">
        <v>211</v>
      </c>
      <c r="P31" t="s">
        <v>211</v>
      </c>
      <c r="Q31">
        <v>1</v>
      </c>
      <c r="W31">
        <v>0</v>
      </c>
      <c r="X31">
        <v>1080624300</v>
      </c>
      <c r="Y31">
        <v>7.7</v>
      </c>
      <c r="AA31">
        <v>0</v>
      </c>
      <c r="AB31">
        <v>5.13</v>
      </c>
      <c r="AC31">
        <v>0.85</v>
      </c>
      <c r="AD31">
        <v>0</v>
      </c>
      <c r="AE31">
        <v>0</v>
      </c>
      <c r="AF31">
        <v>3.16</v>
      </c>
      <c r="AG31">
        <v>0.04</v>
      </c>
      <c r="AH31">
        <v>0</v>
      </c>
      <c r="AI31">
        <v>1</v>
      </c>
      <c r="AJ31">
        <v>1.55</v>
      </c>
      <c r="AK31">
        <v>20.4</v>
      </c>
      <c r="AL31">
        <v>1</v>
      </c>
      <c r="AN31">
        <v>0</v>
      </c>
      <c r="AO31">
        <v>1</v>
      </c>
      <c r="AP31">
        <v>0</v>
      </c>
      <c r="AQ31">
        <v>0</v>
      </c>
      <c r="AR31">
        <v>0</v>
      </c>
      <c r="AT31">
        <v>7.7</v>
      </c>
      <c r="AV31">
        <v>0</v>
      </c>
      <c r="AW31">
        <v>2</v>
      </c>
      <c r="AX31">
        <v>34388966</v>
      </c>
      <c r="AY31">
        <v>1</v>
      </c>
      <c r="AZ31">
        <v>0</v>
      </c>
      <c r="BA31">
        <v>27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Y31*Source!I157</f>
        <v>2.17294</v>
      </c>
      <c r="CY31">
        <f>AB31</f>
        <v>5.13</v>
      </c>
      <c r="CZ31">
        <f>AF31</f>
        <v>3.16</v>
      </c>
      <c r="DA31">
        <f>AJ31</f>
        <v>1.55</v>
      </c>
      <c r="DB31">
        <v>0</v>
      </c>
    </row>
    <row r="32" spans="1:106" ht="12.75">
      <c r="A32">
        <f>ROW(Source!A157)</f>
        <v>157</v>
      </c>
      <c r="B32">
        <v>34388368</v>
      </c>
      <c r="C32">
        <v>34388959</v>
      </c>
      <c r="D32">
        <v>7182702</v>
      </c>
      <c r="E32">
        <v>7157832</v>
      </c>
      <c r="F32">
        <v>1</v>
      </c>
      <c r="G32">
        <v>7157832</v>
      </c>
      <c r="H32">
        <v>3</v>
      </c>
      <c r="I32" t="s">
        <v>405</v>
      </c>
      <c r="K32" t="s">
        <v>414</v>
      </c>
      <c r="L32">
        <v>1348</v>
      </c>
      <c r="N32">
        <v>1009</v>
      </c>
      <c r="O32" t="s">
        <v>265</v>
      </c>
      <c r="P32" t="s">
        <v>265</v>
      </c>
      <c r="Q32">
        <v>1000</v>
      </c>
      <c r="W32">
        <v>0</v>
      </c>
      <c r="X32">
        <v>-1541367988</v>
      </c>
      <c r="Y32">
        <v>6.1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1</v>
      </c>
      <c r="AJ32">
        <v>1</v>
      </c>
      <c r="AK32">
        <v>1</v>
      </c>
      <c r="AL32">
        <v>1</v>
      </c>
      <c r="AN32">
        <v>0</v>
      </c>
      <c r="AO32">
        <v>1</v>
      </c>
      <c r="AP32">
        <v>0</v>
      </c>
      <c r="AQ32">
        <v>0</v>
      </c>
      <c r="AR32">
        <v>0</v>
      </c>
      <c r="AT32">
        <v>6.1</v>
      </c>
      <c r="AV32">
        <v>0</v>
      </c>
      <c r="AW32">
        <v>2</v>
      </c>
      <c r="AX32">
        <v>34388967</v>
      </c>
      <c r="AY32">
        <v>1</v>
      </c>
      <c r="AZ32">
        <v>0</v>
      </c>
      <c r="BA32">
        <v>28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Y32*Source!I157</f>
        <v>1.72142</v>
      </c>
      <c r="CY32">
        <f>AA32</f>
        <v>0</v>
      </c>
      <c r="CZ32">
        <f>AE32</f>
        <v>0</v>
      </c>
      <c r="DA32">
        <f>AI32</f>
        <v>1</v>
      </c>
      <c r="DB32">
        <v>0</v>
      </c>
    </row>
    <row r="33" spans="1:106" ht="12.75">
      <c r="A33">
        <f>ROW(Source!A158)</f>
        <v>158</v>
      </c>
      <c r="B33">
        <v>34388368</v>
      </c>
      <c r="C33">
        <v>34388968</v>
      </c>
      <c r="D33">
        <v>7157835</v>
      </c>
      <c r="E33">
        <v>7157832</v>
      </c>
      <c r="F33">
        <v>1</v>
      </c>
      <c r="G33">
        <v>7157832</v>
      </c>
      <c r="H33">
        <v>1</v>
      </c>
      <c r="I33" t="s">
        <v>399</v>
      </c>
      <c r="K33" t="s">
        <v>400</v>
      </c>
      <c r="L33">
        <v>1191</v>
      </c>
      <c r="N33">
        <v>1013</v>
      </c>
      <c r="O33" t="s">
        <v>401</v>
      </c>
      <c r="P33" t="s">
        <v>401</v>
      </c>
      <c r="Q33">
        <v>1</v>
      </c>
      <c r="W33">
        <v>0</v>
      </c>
      <c r="X33">
        <v>946207192</v>
      </c>
      <c r="Y33">
        <v>38.24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1</v>
      </c>
      <c r="AJ33">
        <v>1</v>
      </c>
      <c r="AK33">
        <v>1</v>
      </c>
      <c r="AL33">
        <v>1</v>
      </c>
      <c r="AN33">
        <v>0</v>
      </c>
      <c r="AO33">
        <v>1</v>
      </c>
      <c r="AP33">
        <v>0</v>
      </c>
      <c r="AQ33">
        <v>0</v>
      </c>
      <c r="AR33">
        <v>0</v>
      </c>
      <c r="AT33">
        <v>38.24</v>
      </c>
      <c r="AV33">
        <v>1</v>
      </c>
      <c r="AW33">
        <v>2</v>
      </c>
      <c r="AX33">
        <v>34388973</v>
      </c>
      <c r="AY33">
        <v>1</v>
      </c>
      <c r="AZ33">
        <v>0</v>
      </c>
      <c r="BA33">
        <v>29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Y33*Source!I158</f>
        <v>40.771488000000005</v>
      </c>
      <c r="CY33">
        <f>AD33</f>
        <v>0</v>
      </c>
      <c r="CZ33">
        <f>AH33</f>
        <v>0</v>
      </c>
      <c r="DA33">
        <f>AL33</f>
        <v>1</v>
      </c>
      <c r="DB33">
        <v>0</v>
      </c>
    </row>
    <row r="34" spans="1:106" ht="12.75">
      <c r="A34">
        <f>ROW(Source!A158)</f>
        <v>158</v>
      </c>
      <c r="B34">
        <v>34388368</v>
      </c>
      <c r="C34">
        <v>34388968</v>
      </c>
      <c r="D34">
        <v>7231126</v>
      </c>
      <c r="E34">
        <v>1</v>
      </c>
      <c r="F34">
        <v>1</v>
      </c>
      <c r="G34">
        <v>7157832</v>
      </c>
      <c r="H34">
        <v>2</v>
      </c>
      <c r="I34" t="s">
        <v>408</v>
      </c>
      <c r="J34" t="s">
        <v>409</v>
      </c>
      <c r="K34" t="s">
        <v>410</v>
      </c>
      <c r="L34">
        <v>1368</v>
      </c>
      <c r="N34">
        <v>1011</v>
      </c>
      <c r="O34" t="s">
        <v>211</v>
      </c>
      <c r="P34" t="s">
        <v>211</v>
      </c>
      <c r="Q34">
        <v>1</v>
      </c>
      <c r="W34">
        <v>0</v>
      </c>
      <c r="X34">
        <v>331870461</v>
      </c>
      <c r="Y34">
        <v>7.7</v>
      </c>
      <c r="AA34">
        <v>0</v>
      </c>
      <c r="AB34">
        <v>413.54</v>
      </c>
      <c r="AC34">
        <v>284.71</v>
      </c>
      <c r="AD34">
        <v>0</v>
      </c>
      <c r="AE34">
        <v>0</v>
      </c>
      <c r="AF34">
        <v>41.62</v>
      </c>
      <c r="AG34">
        <v>13.33</v>
      </c>
      <c r="AH34">
        <v>0</v>
      </c>
      <c r="AI34">
        <v>1</v>
      </c>
      <c r="AJ34">
        <v>9.49</v>
      </c>
      <c r="AK34">
        <v>20.4</v>
      </c>
      <c r="AL34">
        <v>1</v>
      </c>
      <c r="AN34">
        <v>0</v>
      </c>
      <c r="AO34">
        <v>1</v>
      </c>
      <c r="AP34">
        <v>0</v>
      </c>
      <c r="AQ34">
        <v>0</v>
      </c>
      <c r="AR34">
        <v>0</v>
      </c>
      <c r="AT34">
        <v>7.7</v>
      </c>
      <c r="AV34">
        <v>0</v>
      </c>
      <c r="AW34">
        <v>2</v>
      </c>
      <c r="AX34">
        <v>34388974</v>
      </c>
      <c r="AY34">
        <v>1</v>
      </c>
      <c r="AZ34">
        <v>0</v>
      </c>
      <c r="BA34">
        <v>30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Y34*Source!I158</f>
        <v>8.20974</v>
      </c>
      <c r="CY34">
        <f>AB34</f>
        <v>413.54</v>
      </c>
      <c r="CZ34">
        <f>AF34</f>
        <v>41.62</v>
      </c>
      <c r="DA34">
        <f>AJ34</f>
        <v>9.49</v>
      </c>
      <c r="DB34">
        <v>0</v>
      </c>
    </row>
    <row r="35" spans="1:106" ht="12.75">
      <c r="A35">
        <f>ROW(Source!A158)</f>
        <v>158</v>
      </c>
      <c r="B35">
        <v>34388368</v>
      </c>
      <c r="C35">
        <v>34388968</v>
      </c>
      <c r="D35">
        <v>7231489</v>
      </c>
      <c r="E35">
        <v>1</v>
      </c>
      <c r="F35">
        <v>1</v>
      </c>
      <c r="G35">
        <v>7157832</v>
      </c>
      <c r="H35">
        <v>2</v>
      </c>
      <c r="I35" t="s">
        <v>411</v>
      </c>
      <c r="J35" t="s">
        <v>412</v>
      </c>
      <c r="K35" t="s">
        <v>413</v>
      </c>
      <c r="L35">
        <v>1368</v>
      </c>
      <c r="N35">
        <v>1011</v>
      </c>
      <c r="O35" t="s">
        <v>211</v>
      </c>
      <c r="P35" t="s">
        <v>211</v>
      </c>
      <c r="Q35">
        <v>1</v>
      </c>
      <c r="W35">
        <v>0</v>
      </c>
      <c r="X35">
        <v>1080624300</v>
      </c>
      <c r="Y35">
        <v>7.7</v>
      </c>
      <c r="AA35">
        <v>0</v>
      </c>
      <c r="AB35">
        <v>5.13</v>
      </c>
      <c r="AC35">
        <v>0.85</v>
      </c>
      <c r="AD35">
        <v>0</v>
      </c>
      <c r="AE35">
        <v>0</v>
      </c>
      <c r="AF35">
        <v>3.16</v>
      </c>
      <c r="AG35">
        <v>0.04</v>
      </c>
      <c r="AH35">
        <v>0</v>
      </c>
      <c r="AI35">
        <v>1</v>
      </c>
      <c r="AJ35">
        <v>1.55</v>
      </c>
      <c r="AK35">
        <v>20.4</v>
      </c>
      <c r="AL35">
        <v>1</v>
      </c>
      <c r="AN35">
        <v>0</v>
      </c>
      <c r="AO35">
        <v>1</v>
      </c>
      <c r="AP35">
        <v>0</v>
      </c>
      <c r="AQ35">
        <v>0</v>
      </c>
      <c r="AR35">
        <v>0</v>
      </c>
      <c r="AT35">
        <v>7.7</v>
      </c>
      <c r="AV35">
        <v>0</v>
      </c>
      <c r="AW35">
        <v>2</v>
      </c>
      <c r="AX35">
        <v>34388975</v>
      </c>
      <c r="AY35">
        <v>1</v>
      </c>
      <c r="AZ35">
        <v>0</v>
      </c>
      <c r="BA35">
        <v>31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Y35*Source!I158</f>
        <v>8.20974</v>
      </c>
      <c r="CY35">
        <f>AB35</f>
        <v>5.13</v>
      </c>
      <c r="CZ35">
        <f>AF35</f>
        <v>3.16</v>
      </c>
      <c r="DA35">
        <f>AJ35</f>
        <v>1.55</v>
      </c>
      <c r="DB35">
        <v>0</v>
      </c>
    </row>
    <row r="36" spans="1:106" ht="12.75">
      <c r="A36">
        <f>ROW(Source!A158)</f>
        <v>158</v>
      </c>
      <c r="B36">
        <v>34388368</v>
      </c>
      <c r="C36">
        <v>34388968</v>
      </c>
      <c r="D36">
        <v>7182702</v>
      </c>
      <c r="E36">
        <v>7157832</v>
      </c>
      <c r="F36">
        <v>1</v>
      </c>
      <c r="G36">
        <v>7157832</v>
      </c>
      <c r="H36">
        <v>3</v>
      </c>
      <c r="I36" t="s">
        <v>405</v>
      </c>
      <c r="K36" t="s">
        <v>414</v>
      </c>
      <c r="L36">
        <v>1348</v>
      </c>
      <c r="N36">
        <v>1009</v>
      </c>
      <c r="O36" t="s">
        <v>265</v>
      </c>
      <c r="P36" t="s">
        <v>265</v>
      </c>
      <c r="Q36">
        <v>1000</v>
      </c>
      <c r="W36">
        <v>0</v>
      </c>
      <c r="X36">
        <v>-1541367988</v>
      </c>
      <c r="Y36">
        <v>6.1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1</v>
      </c>
      <c r="AJ36">
        <v>1</v>
      </c>
      <c r="AK36">
        <v>1</v>
      </c>
      <c r="AL36">
        <v>1</v>
      </c>
      <c r="AN36">
        <v>0</v>
      </c>
      <c r="AO36">
        <v>1</v>
      </c>
      <c r="AP36">
        <v>0</v>
      </c>
      <c r="AQ36">
        <v>0</v>
      </c>
      <c r="AR36">
        <v>0</v>
      </c>
      <c r="AT36">
        <v>6.1</v>
      </c>
      <c r="AV36">
        <v>0</v>
      </c>
      <c r="AW36">
        <v>2</v>
      </c>
      <c r="AX36">
        <v>34388976</v>
      </c>
      <c r="AY36">
        <v>1</v>
      </c>
      <c r="AZ36">
        <v>0</v>
      </c>
      <c r="BA36">
        <v>32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Y36*Source!I158</f>
        <v>6.50382</v>
      </c>
      <c r="CY36">
        <f>AA36</f>
        <v>0</v>
      </c>
      <c r="CZ36">
        <f>AE36</f>
        <v>0</v>
      </c>
      <c r="DA36">
        <f>AI36</f>
        <v>1</v>
      </c>
      <c r="DB36">
        <v>0</v>
      </c>
    </row>
    <row r="37" spans="1:106" ht="12.75">
      <c r="A37">
        <f>ROW(Source!A159)</f>
        <v>159</v>
      </c>
      <c r="B37">
        <v>34388368</v>
      </c>
      <c r="C37">
        <v>34388977</v>
      </c>
      <c r="D37">
        <v>7157835</v>
      </c>
      <c r="E37">
        <v>7157832</v>
      </c>
      <c r="F37">
        <v>1</v>
      </c>
      <c r="G37">
        <v>7157832</v>
      </c>
      <c r="H37">
        <v>1</v>
      </c>
      <c r="I37" t="s">
        <v>399</v>
      </c>
      <c r="K37" t="s">
        <v>400</v>
      </c>
      <c r="L37">
        <v>1191</v>
      </c>
      <c r="N37">
        <v>1013</v>
      </c>
      <c r="O37" t="s">
        <v>401</v>
      </c>
      <c r="P37" t="s">
        <v>401</v>
      </c>
      <c r="Q37">
        <v>1</v>
      </c>
      <c r="W37">
        <v>0</v>
      </c>
      <c r="X37">
        <v>946207192</v>
      </c>
      <c r="Y37">
        <v>14.4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1</v>
      </c>
      <c r="AJ37">
        <v>1</v>
      </c>
      <c r="AK37">
        <v>1</v>
      </c>
      <c r="AL37">
        <v>1</v>
      </c>
      <c r="AN37">
        <v>0</v>
      </c>
      <c r="AO37">
        <v>1</v>
      </c>
      <c r="AP37">
        <v>0</v>
      </c>
      <c r="AQ37">
        <v>0</v>
      </c>
      <c r="AR37">
        <v>0</v>
      </c>
      <c r="AT37">
        <v>14.4</v>
      </c>
      <c r="AV37">
        <v>1</v>
      </c>
      <c r="AW37">
        <v>2</v>
      </c>
      <c r="AX37">
        <v>34388986</v>
      </c>
      <c r="AY37">
        <v>1</v>
      </c>
      <c r="AZ37">
        <v>0</v>
      </c>
      <c r="BA37">
        <v>33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Y37*Source!I159</f>
        <v>1.91232</v>
      </c>
      <c r="CY37">
        <f>AD37</f>
        <v>0</v>
      </c>
      <c r="CZ37">
        <f>AH37</f>
        <v>0</v>
      </c>
      <c r="DA37">
        <f>AL37</f>
        <v>1</v>
      </c>
      <c r="DB37">
        <v>0</v>
      </c>
    </row>
    <row r="38" spans="1:106" ht="12.75">
      <c r="A38">
        <f>ROW(Source!A159)</f>
        <v>159</v>
      </c>
      <c r="B38">
        <v>34388368</v>
      </c>
      <c r="C38">
        <v>34388977</v>
      </c>
      <c r="D38">
        <v>7230769</v>
      </c>
      <c r="E38">
        <v>1</v>
      </c>
      <c r="F38">
        <v>1</v>
      </c>
      <c r="G38">
        <v>7157832</v>
      </c>
      <c r="H38">
        <v>2</v>
      </c>
      <c r="I38" t="s">
        <v>415</v>
      </c>
      <c r="J38" t="s">
        <v>416</v>
      </c>
      <c r="K38" t="s">
        <v>417</v>
      </c>
      <c r="L38">
        <v>1368</v>
      </c>
      <c r="N38">
        <v>1011</v>
      </c>
      <c r="O38" t="s">
        <v>211</v>
      </c>
      <c r="P38" t="s">
        <v>211</v>
      </c>
      <c r="Q38">
        <v>1</v>
      </c>
      <c r="W38">
        <v>0</v>
      </c>
      <c r="X38">
        <v>810095969</v>
      </c>
      <c r="Y38">
        <v>1.66</v>
      </c>
      <c r="AA38">
        <v>0</v>
      </c>
      <c r="AB38">
        <v>1058.62</v>
      </c>
      <c r="AC38">
        <v>500.01</v>
      </c>
      <c r="AD38">
        <v>0</v>
      </c>
      <c r="AE38">
        <v>0</v>
      </c>
      <c r="AF38">
        <v>116.89</v>
      </c>
      <c r="AG38">
        <v>23.41</v>
      </c>
      <c r="AH38">
        <v>0</v>
      </c>
      <c r="AI38">
        <v>1</v>
      </c>
      <c r="AJ38">
        <v>8.65</v>
      </c>
      <c r="AK38">
        <v>20.4</v>
      </c>
      <c r="AL38">
        <v>1</v>
      </c>
      <c r="AN38">
        <v>0</v>
      </c>
      <c r="AO38">
        <v>1</v>
      </c>
      <c r="AP38">
        <v>0</v>
      </c>
      <c r="AQ38">
        <v>0</v>
      </c>
      <c r="AR38">
        <v>0</v>
      </c>
      <c r="AT38">
        <v>1.66</v>
      </c>
      <c r="AV38">
        <v>0</v>
      </c>
      <c r="AW38">
        <v>2</v>
      </c>
      <c r="AX38">
        <v>34388987</v>
      </c>
      <c r="AY38">
        <v>1</v>
      </c>
      <c r="AZ38">
        <v>0</v>
      </c>
      <c r="BA38">
        <v>34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Y38*Source!I159</f>
        <v>0.220448</v>
      </c>
      <c r="CY38">
        <f>AB38</f>
        <v>1058.62</v>
      </c>
      <c r="CZ38">
        <f>AF38</f>
        <v>116.89</v>
      </c>
      <c r="DA38">
        <f>AJ38</f>
        <v>8.65</v>
      </c>
      <c r="DB38">
        <v>0</v>
      </c>
    </row>
    <row r="39" spans="1:106" ht="12.75">
      <c r="A39">
        <f>ROW(Source!A159)</f>
        <v>159</v>
      </c>
      <c r="B39">
        <v>34388368</v>
      </c>
      <c r="C39">
        <v>34388977</v>
      </c>
      <c r="D39">
        <v>7230974</v>
      </c>
      <c r="E39">
        <v>1</v>
      </c>
      <c r="F39">
        <v>1</v>
      </c>
      <c r="G39">
        <v>7157832</v>
      </c>
      <c r="H39">
        <v>2</v>
      </c>
      <c r="I39" t="s">
        <v>418</v>
      </c>
      <c r="J39" t="s">
        <v>419</v>
      </c>
      <c r="K39" t="s">
        <v>420</v>
      </c>
      <c r="L39">
        <v>1368</v>
      </c>
      <c r="N39">
        <v>1011</v>
      </c>
      <c r="O39" t="s">
        <v>211</v>
      </c>
      <c r="P39" t="s">
        <v>211</v>
      </c>
      <c r="Q39">
        <v>1</v>
      </c>
      <c r="W39">
        <v>0</v>
      </c>
      <c r="X39">
        <v>-12113192</v>
      </c>
      <c r="Y39">
        <v>1.66</v>
      </c>
      <c r="AA39">
        <v>0</v>
      </c>
      <c r="AB39">
        <v>356.68</v>
      </c>
      <c r="AC39">
        <v>141.82</v>
      </c>
      <c r="AD39">
        <v>0</v>
      </c>
      <c r="AE39">
        <v>0</v>
      </c>
      <c r="AF39">
        <v>62.97</v>
      </c>
      <c r="AG39">
        <v>6.64</v>
      </c>
      <c r="AH39">
        <v>0</v>
      </c>
      <c r="AI39">
        <v>1</v>
      </c>
      <c r="AJ39">
        <v>5.41</v>
      </c>
      <c r="AK39">
        <v>20.4</v>
      </c>
      <c r="AL39">
        <v>1</v>
      </c>
      <c r="AN39">
        <v>0</v>
      </c>
      <c r="AO39">
        <v>1</v>
      </c>
      <c r="AP39">
        <v>0</v>
      </c>
      <c r="AQ39">
        <v>0</v>
      </c>
      <c r="AR39">
        <v>0</v>
      </c>
      <c r="AT39">
        <v>1.66</v>
      </c>
      <c r="AV39">
        <v>0</v>
      </c>
      <c r="AW39">
        <v>2</v>
      </c>
      <c r="AX39">
        <v>34388988</v>
      </c>
      <c r="AY39">
        <v>1</v>
      </c>
      <c r="AZ39">
        <v>0</v>
      </c>
      <c r="BA39">
        <v>35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Y39*Source!I159</f>
        <v>0.220448</v>
      </c>
      <c r="CY39">
        <f>AB39</f>
        <v>356.68</v>
      </c>
      <c r="CZ39">
        <f>AF39</f>
        <v>62.97</v>
      </c>
      <c r="DA39">
        <f>AJ39</f>
        <v>5.41</v>
      </c>
      <c r="DB39">
        <v>0</v>
      </c>
    </row>
    <row r="40" spans="1:106" ht="12.75">
      <c r="A40">
        <f>ROW(Source!A159)</f>
        <v>159</v>
      </c>
      <c r="B40">
        <v>34388368</v>
      </c>
      <c r="C40">
        <v>34388977</v>
      </c>
      <c r="D40">
        <v>7230977</v>
      </c>
      <c r="E40">
        <v>1</v>
      </c>
      <c r="F40">
        <v>1</v>
      </c>
      <c r="G40">
        <v>7157832</v>
      </c>
      <c r="H40">
        <v>2</v>
      </c>
      <c r="I40" t="s">
        <v>421</v>
      </c>
      <c r="J40" t="s">
        <v>422</v>
      </c>
      <c r="K40" t="s">
        <v>423</v>
      </c>
      <c r="L40">
        <v>1368</v>
      </c>
      <c r="N40">
        <v>1011</v>
      </c>
      <c r="O40" t="s">
        <v>211</v>
      </c>
      <c r="P40" t="s">
        <v>211</v>
      </c>
      <c r="Q40">
        <v>1</v>
      </c>
      <c r="W40">
        <v>0</v>
      </c>
      <c r="X40">
        <v>-1774859560</v>
      </c>
      <c r="Y40">
        <v>0.65</v>
      </c>
      <c r="AA40">
        <v>0</v>
      </c>
      <c r="AB40">
        <v>1689.71</v>
      </c>
      <c r="AC40">
        <v>611.08</v>
      </c>
      <c r="AD40">
        <v>0</v>
      </c>
      <c r="AE40">
        <v>0</v>
      </c>
      <c r="AF40">
        <v>140.58</v>
      </c>
      <c r="AG40">
        <v>28.61</v>
      </c>
      <c r="AH40">
        <v>0</v>
      </c>
      <c r="AI40">
        <v>1</v>
      </c>
      <c r="AJ40">
        <v>11.48</v>
      </c>
      <c r="AK40">
        <v>20.4</v>
      </c>
      <c r="AL40">
        <v>1</v>
      </c>
      <c r="AN40">
        <v>0</v>
      </c>
      <c r="AO40">
        <v>1</v>
      </c>
      <c r="AP40">
        <v>0</v>
      </c>
      <c r="AQ40">
        <v>0</v>
      </c>
      <c r="AR40">
        <v>0</v>
      </c>
      <c r="AT40">
        <v>0.65</v>
      </c>
      <c r="AV40">
        <v>0</v>
      </c>
      <c r="AW40">
        <v>2</v>
      </c>
      <c r="AX40">
        <v>34388989</v>
      </c>
      <c r="AY40">
        <v>1</v>
      </c>
      <c r="AZ40">
        <v>0</v>
      </c>
      <c r="BA40">
        <v>36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Y40*Source!I159</f>
        <v>0.08632000000000001</v>
      </c>
      <c r="CY40">
        <f>AB40</f>
        <v>1689.71</v>
      </c>
      <c r="CZ40">
        <f>AF40</f>
        <v>140.58</v>
      </c>
      <c r="DA40">
        <f>AJ40</f>
        <v>11.48</v>
      </c>
      <c r="DB40">
        <v>0</v>
      </c>
    </row>
    <row r="41" spans="1:106" ht="12.75">
      <c r="A41">
        <f>ROW(Source!A159)</f>
        <v>159</v>
      </c>
      <c r="B41">
        <v>34388368</v>
      </c>
      <c r="C41">
        <v>34388977</v>
      </c>
      <c r="D41">
        <v>7231005</v>
      </c>
      <c r="E41">
        <v>1</v>
      </c>
      <c r="F41">
        <v>1</v>
      </c>
      <c r="G41">
        <v>7157832</v>
      </c>
      <c r="H41">
        <v>2</v>
      </c>
      <c r="I41" t="s">
        <v>424</v>
      </c>
      <c r="J41" t="s">
        <v>425</v>
      </c>
      <c r="K41" t="s">
        <v>426</v>
      </c>
      <c r="L41">
        <v>1368</v>
      </c>
      <c r="N41">
        <v>1011</v>
      </c>
      <c r="O41" t="s">
        <v>211</v>
      </c>
      <c r="P41" t="s">
        <v>211</v>
      </c>
      <c r="Q41">
        <v>1</v>
      </c>
      <c r="W41">
        <v>0</v>
      </c>
      <c r="X41">
        <v>36406169</v>
      </c>
      <c r="Y41">
        <v>1.55</v>
      </c>
      <c r="AA41">
        <v>0</v>
      </c>
      <c r="AB41">
        <v>1299.63</v>
      </c>
      <c r="AC41">
        <v>528.42</v>
      </c>
      <c r="AD41">
        <v>0</v>
      </c>
      <c r="AE41">
        <v>0</v>
      </c>
      <c r="AF41">
        <v>125.13</v>
      </c>
      <c r="AG41">
        <v>24.74</v>
      </c>
      <c r="AH41">
        <v>0</v>
      </c>
      <c r="AI41">
        <v>1</v>
      </c>
      <c r="AJ41">
        <v>9.92</v>
      </c>
      <c r="AK41">
        <v>20.4</v>
      </c>
      <c r="AL41">
        <v>1</v>
      </c>
      <c r="AN41">
        <v>0</v>
      </c>
      <c r="AO41">
        <v>1</v>
      </c>
      <c r="AP41">
        <v>0</v>
      </c>
      <c r="AQ41">
        <v>0</v>
      </c>
      <c r="AR41">
        <v>0</v>
      </c>
      <c r="AT41">
        <v>1.55</v>
      </c>
      <c r="AV41">
        <v>0</v>
      </c>
      <c r="AW41">
        <v>2</v>
      </c>
      <c r="AX41">
        <v>34388990</v>
      </c>
      <c r="AY41">
        <v>1</v>
      </c>
      <c r="AZ41">
        <v>0</v>
      </c>
      <c r="BA41">
        <v>37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Y41*Source!I159</f>
        <v>0.20584</v>
      </c>
      <c r="CY41">
        <f>AB41</f>
        <v>1299.63</v>
      </c>
      <c r="CZ41">
        <f>AF41</f>
        <v>125.13</v>
      </c>
      <c r="DA41">
        <f>AJ41</f>
        <v>9.92</v>
      </c>
      <c r="DB41">
        <v>0</v>
      </c>
    </row>
    <row r="42" spans="1:106" ht="12.75">
      <c r="A42">
        <f>ROW(Source!A159)</f>
        <v>159</v>
      </c>
      <c r="B42">
        <v>34388368</v>
      </c>
      <c r="C42">
        <v>34388977</v>
      </c>
      <c r="D42">
        <v>7230967</v>
      </c>
      <c r="E42">
        <v>1</v>
      </c>
      <c r="F42">
        <v>1</v>
      </c>
      <c r="G42">
        <v>7157832</v>
      </c>
      <c r="H42">
        <v>2</v>
      </c>
      <c r="I42" t="s">
        <v>427</v>
      </c>
      <c r="J42" t="s">
        <v>428</v>
      </c>
      <c r="K42" t="s">
        <v>429</v>
      </c>
      <c r="L42">
        <v>1368</v>
      </c>
      <c r="N42">
        <v>1011</v>
      </c>
      <c r="O42" t="s">
        <v>211</v>
      </c>
      <c r="P42" t="s">
        <v>211</v>
      </c>
      <c r="Q42">
        <v>1</v>
      </c>
      <c r="W42">
        <v>0</v>
      </c>
      <c r="X42">
        <v>-729676069</v>
      </c>
      <c r="Y42">
        <v>0.52</v>
      </c>
      <c r="AA42">
        <v>0</v>
      </c>
      <c r="AB42">
        <v>1731.53</v>
      </c>
      <c r="AC42">
        <v>501.93</v>
      </c>
      <c r="AD42">
        <v>0</v>
      </c>
      <c r="AE42">
        <v>0</v>
      </c>
      <c r="AF42">
        <v>178.02</v>
      </c>
      <c r="AG42">
        <v>23.5</v>
      </c>
      <c r="AH42">
        <v>0</v>
      </c>
      <c r="AI42">
        <v>1</v>
      </c>
      <c r="AJ42">
        <v>9.29</v>
      </c>
      <c r="AK42">
        <v>20.4</v>
      </c>
      <c r="AL42">
        <v>1</v>
      </c>
      <c r="AN42">
        <v>0</v>
      </c>
      <c r="AO42">
        <v>1</v>
      </c>
      <c r="AP42">
        <v>0</v>
      </c>
      <c r="AQ42">
        <v>0</v>
      </c>
      <c r="AR42">
        <v>0</v>
      </c>
      <c r="AT42">
        <v>0.52</v>
      </c>
      <c r="AV42">
        <v>0</v>
      </c>
      <c r="AW42">
        <v>2</v>
      </c>
      <c r="AX42">
        <v>34388991</v>
      </c>
      <c r="AY42">
        <v>1</v>
      </c>
      <c r="AZ42">
        <v>0</v>
      </c>
      <c r="BA42">
        <v>38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Y42*Source!I159</f>
        <v>0.069056</v>
      </c>
      <c r="CY42">
        <f>AB42</f>
        <v>1731.53</v>
      </c>
      <c r="CZ42">
        <f>AF42</f>
        <v>178.02</v>
      </c>
      <c r="DA42">
        <f>AJ42</f>
        <v>9.29</v>
      </c>
      <c r="DB42">
        <v>0</v>
      </c>
    </row>
    <row r="43" spans="1:106" ht="12.75">
      <c r="A43">
        <f>ROW(Source!A159)</f>
        <v>159</v>
      </c>
      <c r="B43">
        <v>34388368</v>
      </c>
      <c r="C43">
        <v>34388977</v>
      </c>
      <c r="D43">
        <v>7231827</v>
      </c>
      <c r="E43">
        <v>1</v>
      </c>
      <c r="F43">
        <v>1</v>
      </c>
      <c r="G43">
        <v>7157832</v>
      </c>
      <c r="H43">
        <v>3</v>
      </c>
      <c r="I43" t="s">
        <v>430</v>
      </c>
      <c r="J43" t="s">
        <v>431</v>
      </c>
      <c r="K43" t="s">
        <v>432</v>
      </c>
      <c r="L43">
        <v>1339</v>
      </c>
      <c r="N43">
        <v>1007</v>
      </c>
      <c r="O43" t="s">
        <v>42</v>
      </c>
      <c r="P43" t="s">
        <v>42</v>
      </c>
      <c r="Q43">
        <v>1</v>
      </c>
      <c r="W43">
        <v>0</v>
      </c>
      <c r="X43">
        <v>55300385</v>
      </c>
      <c r="Y43">
        <v>5</v>
      </c>
      <c r="AA43">
        <v>30.04</v>
      </c>
      <c r="AB43">
        <v>0</v>
      </c>
      <c r="AC43">
        <v>0</v>
      </c>
      <c r="AD43">
        <v>0</v>
      </c>
      <c r="AE43">
        <v>7.07</v>
      </c>
      <c r="AF43">
        <v>0</v>
      </c>
      <c r="AG43">
        <v>0</v>
      </c>
      <c r="AH43">
        <v>0</v>
      </c>
      <c r="AI43">
        <v>4.24</v>
      </c>
      <c r="AJ43">
        <v>1</v>
      </c>
      <c r="AK43">
        <v>1</v>
      </c>
      <c r="AL43">
        <v>1</v>
      </c>
      <c r="AN43">
        <v>0</v>
      </c>
      <c r="AO43">
        <v>1</v>
      </c>
      <c r="AP43">
        <v>0</v>
      </c>
      <c r="AQ43">
        <v>0</v>
      </c>
      <c r="AR43">
        <v>0</v>
      </c>
      <c r="AT43">
        <v>5</v>
      </c>
      <c r="AV43">
        <v>0</v>
      </c>
      <c r="AW43">
        <v>2</v>
      </c>
      <c r="AX43">
        <v>34388992</v>
      </c>
      <c r="AY43">
        <v>1</v>
      </c>
      <c r="AZ43">
        <v>0</v>
      </c>
      <c r="BA43">
        <v>39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Y43*Source!I159</f>
        <v>0.664</v>
      </c>
      <c r="CY43">
        <f>AA43</f>
        <v>30.04</v>
      </c>
      <c r="CZ43">
        <f>AE43</f>
        <v>7.07</v>
      </c>
      <c r="DA43">
        <f>AI43</f>
        <v>4.24</v>
      </c>
      <c r="DB43">
        <v>0</v>
      </c>
    </row>
    <row r="44" spans="1:106" ht="12.75">
      <c r="A44">
        <f>ROW(Source!A159)</f>
        <v>159</v>
      </c>
      <c r="B44">
        <v>34388368</v>
      </c>
      <c r="C44">
        <v>34388977</v>
      </c>
      <c r="D44">
        <v>7232456</v>
      </c>
      <c r="E44">
        <v>1</v>
      </c>
      <c r="F44">
        <v>1</v>
      </c>
      <c r="G44">
        <v>7157832</v>
      </c>
      <c r="H44">
        <v>3</v>
      </c>
      <c r="I44" t="s">
        <v>40</v>
      </c>
      <c r="J44" t="s">
        <v>43</v>
      </c>
      <c r="K44" t="s">
        <v>41</v>
      </c>
      <c r="L44">
        <v>1339</v>
      </c>
      <c r="N44">
        <v>1007</v>
      </c>
      <c r="O44" t="s">
        <v>42</v>
      </c>
      <c r="P44" t="s">
        <v>42</v>
      </c>
      <c r="Q44">
        <v>1</v>
      </c>
      <c r="W44">
        <v>0</v>
      </c>
      <c r="X44">
        <v>-419971176</v>
      </c>
      <c r="Y44">
        <v>100</v>
      </c>
      <c r="AA44">
        <v>573.34</v>
      </c>
      <c r="AB44">
        <v>0</v>
      </c>
      <c r="AC44">
        <v>0</v>
      </c>
      <c r="AD44">
        <v>0</v>
      </c>
      <c r="AE44">
        <v>104.99</v>
      </c>
      <c r="AF44">
        <v>0</v>
      </c>
      <c r="AG44">
        <v>0</v>
      </c>
      <c r="AH44">
        <v>0</v>
      </c>
      <c r="AI44">
        <v>5.45</v>
      </c>
      <c r="AJ44">
        <v>1</v>
      </c>
      <c r="AK44">
        <v>1</v>
      </c>
      <c r="AL44">
        <v>1</v>
      </c>
      <c r="AN44">
        <v>0</v>
      </c>
      <c r="AO44">
        <v>0</v>
      </c>
      <c r="AP44">
        <v>0</v>
      </c>
      <c r="AQ44">
        <v>0</v>
      </c>
      <c r="AR44">
        <v>0</v>
      </c>
      <c r="AT44">
        <v>100</v>
      </c>
      <c r="AV44">
        <v>0</v>
      </c>
      <c r="AW44">
        <v>1</v>
      </c>
      <c r="AX44">
        <v>-1</v>
      </c>
      <c r="AY44">
        <v>0</v>
      </c>
      <c r="AZ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Y44*Source!I159</f>
        <v>13.28</v>
      </c>
      <c r="CY44">
        <f>AA44</f>
        <v>573.34</v>
      </c>
      <c r="CZ44">
        <f>AE44</f>
        <v>104.99</v>
      </c>
      <c r="DA44">
        <f>AI44</f>
        <v>5.45</v>
      </c>
      <c r="DB44">
        <v>0</v>
      </c>
    </row>
    <row r="45" spans="1:106" ht="12.75">
      <c r="A45">
        <f>ROW(Source!A161)</f>
        <v>161</v>
      </c>
      <c r="B45">
        <v>34388368</v>
      </c>
      <c r="C45">
        <v>34388995</v>
      </c>
      <c r="D45">
        <v>7157835</v>
      </c>
      <c r="E45">
        <v>7157832</v>
      </c>
      <c r="F45">
        <v>1</v>
      </c>
      <c r="G45">
        <v>7157832</v>
      </c>
      <c r="H45">
        <v>1</v>
      </c>
      <c r="I45" t="s">
        <v>399</v>
      </c>
      <c r="K45" t="s">
        <v>400</v>
      </c>
      <c r="L45">
        <v>1191</v>
      </c>
      <c r="N45">
        <v>1013</v>
      </c>
      <c r="O45" t="s">
        <v>401</v>
      </c>
      <c r="P45" t="s">
        <v>401</v>
      </c>
      <c r="Q45">
        <v>1</v>
      </c>
      <c r="W45">
        <v>0</v>
      </c>
      <c r="X45">
        <v>946207192</v>
      </c>
      <c r="Y45">
        <v>21.6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1</v>
      </c>
      <c r="AJ45">
        <v>1</v>
      </c>
      <c r="AK45">
        <v>1</v>
      </c>
      <c r="AL45">
        <v>1</v>
      </c>
      <c r="AN45">
        <v>0</v>
      </c>
      <c r="AO45">
        <v>1</v>
      </c>
      <c r="AP45">
        <v>0</v>
      </c>
      <c r="AQ45">
        <v>0</v>
      </c>
      <c r="AR45">
        <v>0</v>
      </c>
      <c r="AT45">
        <v>21.6</v>
      </c>
      <c r="AV45">
        <v>1</v>
      </c>
      <c r="AW45">
        <v>2</v>
      </c>
      <c r="AX45">
        <v>34389005</v>
      </c>
      <c r="AY45">
        <v>1</v>
      </c>
      <c r="AZ45">
        <v>0</v>
      </c>
      <c r="BA45">
        <v>41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Y45*Source!I161</f>
        <v>0.8640000000000001</v>
      </c>
      <c r="CY45">
        <f>AD45</f>
        <v>0</v>
      </c>
      <c r="CZ45">
        <f>AH45</f>
        <v>0</v>
      </c>
      <c r="DA45">
        <f>AL45</f>
        <v>1</v>
      </c>
      <c r="DB45">
        <v>0</v>
      </c>
    </row>
    <row r="46" spans="1:106" ht="12.75">
      <c r="A46">
        <f>ROW(Source!A161)</f>
        <v>161</v>
      </c>
      <c r="B46">
        <v>34388368</v>
      </c>
      <c r="C46">
        <v>34388995</v>
      </c>
      <c r="D46">
        <v>7230749</v>
      </c>
      <c r="E46">
        <v>1</v>
      </c>
      <c r="F46">
        <v>1</v>
      </c>
      <c r="G46">
        <v>7157832</v>
      </c>
      <c r="H46">
        <v>2</v>
      </c>
      <c r="I46" t="s">
        <v>433</v>
      </c>
      <c r="J46" t="s">
        <v>434</v>
      </c>
      <c r="K46" t="s">
        <v>435</v>
      </c>
      <c r="L46">
        <v>1368</v>
      </c>
      <c r="N46">
        <v>1011</v>
      </c>
      <c r="O46" t="s">
        <v>211</v>
      </c>
      <c r="P46" t="s">
        <v>211</v>
      </c>
      <c r="Q46">
        <v>1</v>
      </c>
      <c r="W46">
        <v>0</v>
      </c>
      <c r="X46">
        <v>-435413025</v>
      </c>
      <c r="Y46">
        <v>2.35</v>
      </c>
      <c r="AA46">
        <v>0</v>
      </c>
      <c r="AB46">
        <v>826.08</v>
      </c>
      <c r="AC46">
        <v>474.59</v>
      </c>
      <c r="AD46">
        <v>0</v>
      </c>
      <c r="AE46">
        <v>0</v>
      </c>
      <c r="AF46">
        <v>95.06</v>
      </c>
      <c r="AG46">
        <v>22.22</v>
      </c>
      <c r="AH46">
        <v>0</v>
      </c>
      <c r="AI46">
        <v>1</v>
      </c>
      <c r="AJ46">
        <v>8.3</v>
      </c>
      <c r="AK46">
        <v>20.4</v>
      </c>
      <c r="AL46">
        <v>1</v>
      </c>
      <c r="AN46">
        <v>0</v>
      </c>
      <c r="AO46">
        <v>1</v>
      </c>
      <c r="AP46">
        <v>0</v>
      </c>
      <c r="AQ46">
        <v>0</v>
      </c>
      <c r="AR46">
        <v>0</v>
      </c>
      <c r="AT46">
        <v>2.35</v>
      </c>
      <c r="AV46">
        <v>0</v>
      </c>
      <c r="AW46">
        <v>2</v>
      </c>
      <c r="AX46">
        <v>34389006</v>
      </c>
      <c r="AY46">
        <v>1</v>
      </c>
      <c r="AZ46">
        <v>0</v>
      </c>
      <c r="BA46">
        <v>42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Y46*Source!I161</f>
        <v>0.094</v>
      </c>
      <c r="CY46">
        <f aca="true" t="shared" si="0" ref="CY46:CY51">AB46</f>
        <v>826.08</v>
      </c>
      <c r="CZ46">
        <f aca="true" t="shared" si="1" ref="CZ46:CZ51">AF46</f>
        <v>95.06</v>
      </c>
      <c r="DA46">
        <f aca="true" t="shared" si="2" ref="DA46:DA51">AJ46</f>
        <v>8.3</v>
      </c>
      <c r="DB46">
        <v>0</v>
      </c>
    </row>
    <row r="47" spans="1:106" ht="12.75">
      <c r="A47">
        <f>ROW(Source!A161)</f>
        <v>161</v>
      </c>
      <c r="B47">
        <v>34388368</v>
      </c>
      <c r="C47">
        <v>34388995</v>
      </c>
      <c r="D47">
        <v>7230977</v>
      </c>
      <c r="E47">
        <v>1</v>
      </c>
      <c r="F47">
        <v>1</v>
      </c>
      <c r="G47">
        <v>7157832</v>
      </c>
      <c r="H47">
        <v>2</v>
      </c>
      <c r="I47" t="s">
        <v>421</v>
      </c>
      <c r="J47" t="s">
        <v>422</v>
      </c>
      <c r="K47" t="s">
        <v>423</v>
      </c>
      <c r="L47">
        <v>1368</v>
      </c>
      <c r="N47">
        <v>1011</v>
      </c>
      <c r="O47" t="s">
        <v>211</v>
      </c>
      <c r="P47" t="s">
        <v>211</v>
      </c>
      <c r="Q47">
        <v>1</v>
      </c>
      <c r="W47">
        <v>0</v>
      </c>
      <c r="X47">
        <v>-1774859560</v>
      </c>
      <c r="Y47">
        <v>0.91</v>
      </c>
      <c r="AA47">
        <v>0</v>
      </c>
      <c r="AB47">
        <v>1689.71</v>
      </c>
      <c r="AC47">
        <v>611.08</v>
      </c>
      <c r="AD47">
        <v>0</v>
      </c>
      <c r="AE47">
        <v>0</v>
      </c>
      <c r="AF47">
        <v>140.58</v>
      </c>
      <c r="AG47">
        <v>28.61</v>
      </c>
      <c r="AH47">
        <v>0</v>
      </c>
      <c r="AI47">
        <v>1</v>
      </c>
      <c r="AJ47">
        <v>11.48</v>
      </c>
      <c r="AK47">
        <v>20.4</v>
      </c>
      <c r="AL47">
        <v>1</v>
      </c>
      <c r="AN47">
        <v>0</v>
      </c>
      <c r="AO47">
        <v>1</v>
      </c>
      <c r="AP47">
        <v>0</v>
      </c>
      <c r="AQ47">
        <v>0</v>
      </c>
      <c r="AR47">
        <v>0</v>
      </c>
      <c r="AT47">
        <v>0.91</v>
      </c>
      <c r="AV47">
        <v>0</v>
      </c>
      <c r="AW47">
        <v>2</v>
      </c>
      <c r="AX47">
        <v>34389007</v>
      </c>
      <c r="AY47">
        <v>1</v>
      </c>
      <c r="AZ47">
        <v>0</v>
      </c>
      <c r="BA47">
        <v>43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Y47*Source!I161</f>
        <v>0.0364</v>
      </c>
      <c r="CY47">
        <f t="shared" si="0"/>
        <v>1689.71</v>
      </c>
      <c r="CZ47">
        <f t="shared" si="1"/>
        <v>140.58</v>
      </c>
      <c r="DA47">
        <f t="shared" si="2"/>
        <v>11.48</v>
      </c>
      <c r="DB47">
        <v>0</v>
      </c>
    </row>
    <row r="48" spans="1:106" ht="12.75">
      <c r="A48">
        <f>ROW(Source!A161)</f>
        <v>161</v>
      </c>
      <c r="B48">
        <v>34388368</v>
      </c>
      <c r="C48">
        <v>34388995</v>
      </c>
      <c r="D48">
        <v>7230962</v>
      </c>
      <c r="E48">
        <v>1</v>
      </c>
      <c r="F48">
        <v>1</v>
      </c>
      <c r="G48">
        <v>7157832</v>
      </c>
      <c r="H48">
        <v>2</v>
      </c>
      <c r="I48" t="s">
        <v>436</v>
      </c>
      <c r="J48" t="s">
        <v>437</v>
      </c>
      <c r="K48" t="s">
        <v>438</v>
      </c>
      <c r="L48">
        <v>1368</v>
      </c>
      <c r="N48">
        <v>1011</v>
      </c>
      <c r="O48" t="s">
        <v>211</v>
      </c>
      <c r="P48" t="s">
        <v>211</v>
      </c>
      <c r="Q48">
        <v>1</v>
      </c>
      <c r="W48">
        <v>0</v>
      </c>
      <c r="X48">
        <v>633757042</v>
      </c>
      <c r="Y48">
        <v>7.17</v>
      </c>
      <c r="AA48">
        <v>0</v>
      </c>
      <c r="AB48">
        <v>1083.44</v>
      </c>
      <c r="AC48">
        <v>488.05</v>
      </c>
      <c r="AD48">
        <v>0</v>
      </c>
      <c r="AE48">
        <v>0</v>
      </c>
      <c r="AF48">
        <v>84.82</v>
      </c>
      <c r="AG48">
        <v>22.85</v>
      </c>
      <c r="AH48">
        <v>0</v>
      </c>
      <c r="AI48">
        <v>1</v>
      </c>
      <c r="AJ48">
        <v>12.2</v>
      </c>
      <c r="AK48">
        <v>20.4</v>
      </c>
      <c r="AL48">
        <v>1</v>
      </c>
      <c r="AN48">
        <v>0</v>
      </c>
      <c r="AO48">
        <v>1</v>
      </c>
      <c r="AP48">
        <v>0</v>
      </c>
      <c r="AQ48">
        <v>0</v>
      </c>
      <c r="AR48">
        <v>0</v>
      </c>
      <c r="AT48">
        <v>7.17</v>
      </c>
      <c r="AV48">
        <v>0</v>
      </c>
      <c r="AW48">
        <v>2</v>
      </c>
      <c r="AX48">
        <v>34389008</v>
      </c>
      <c r="AY48">
        <v>1</v>
      </c>
      <c r="AZ48">
        <v>0</v>
      </c>
      <c r="BA48">
        <v>44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Y48*Source!I161</f>
        <v>0.2868</v>
      </c>
      <c r="CY48">
        <f t="shared" si="0"/>
        <v>1083.44</v>
      </c>
      <c r="CZ48">
        <f t="shared" si="1"/>
        <v>84.82</v>
      </c>
      <c r="DA48">
        <f t="shared" si="2"/>
        <v>12.2</v>
      </c>
      <c r="DB48">
        <v>0</v>
      </c>
    </row>
    <row r="49" spans="1:106" ht="12.75">
      <c r="A49">
        <f>ROW(Source!A161)</f>
        <v>161</v>
      </c>
      <c r="B49">
        <v>34388368</v>
      </c>
      <c r="C49">
        <v>34388995</v>
      </c>
      <c r="D49">
        <v>7230963</v>
      </c>
      <c r="E49">
        <v>1</v>
      </c>
      <c r="F49">
        <v>1</v>
      </c>
      <c r="G49">
        <v>7157832</v>
      </c>
      <c r="H49">
        <v>2</v>
      </c>
      <c r="I49" t="s">
        <v>439</v>
      </c>
      <c r="J49" t="s">
        <v>440</v>
      </c>
      <c r="K49" t="s">
        <v>441</v>
      </c>
      <c r="L49">
        <v>1368</v>
      </c>
      <c r="N49">
        <v>1011</v>
      </c>
      <c r="O49" t="s">
        <v>211</v>
      </c>
      <c r="P49" t="s">
        <v>211</v>
      </c>
      <c r="Q49">
        <v>1</v>
      </c>
      <c r="W49">
        <v>0</v>
      </c>
      <c r="X49">
        <v>-1504561236</v>
      </c>
      <c r="Y49">
        <v>14.6</v>
      </c>
      <c r="AA49">
        <v>0</v>
      </c>
      <c r="AB49">
        <v>1591.32</v>
      </c>
      <c r="AC49">
        <v>488.05</v>
      </c>
      <c r="AD49">
        <v>0</v>
      </c>
      <c r="AE49">
        <v>0</v>
      </c>
      <c r="AF49">
        <v>119.77</v>
      </c>
      <c r="AG49">
        <v>22.85</v>
      </c>
      <c r="AH49">
        <v>0</v>
      </c>
      <c r="AI49">
        <v>1</v>
      </c>
      <c r="AJ49">
        <v>12.69</v>
      </c>
      <c r="AK49">
        <v>20.4</v>
      </c>
      <c r="AL49">
        <v>1</v>
      </c>
      <c r="AN49">
        <v>0</v>
      </c>
      <c r="AO49">
        <v>1</v>
      </c>
      <c r="AP49">
        <v>0</v>
      </c>
      <c r="AQ49">
        <v>0</v>
      </c>
      <c r="AR49">
        <v>0</v>
      </c>
      <c r="AT49">
        <v>14.6</v>
      </c>
      <c r="AV49">
        <v>0</v>
      </c>
      <c r="AW49">
        <v>2</v>
      </c>
      <c r="AX49">
        <v>34389009</v>
      </c>
      <c r="AY49">
        <v>1</v>
      </c>
      <c r="AZ49">
        <v>0</v>
      </c>
      <c r="BA49">
        <v>45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Y49*Source!I161</f>
        <v>0.584</v>
      </c>
      <c r="CY49">
        <f t="shared" si="0"/>
        <v>1591.32</v>
      </c>
      <c r="CZ49">
        <f t="shared" si="1"/>
        <v>119.77</v>
      </c>
      <c r="DA49">
        <f t="shared" si="2"/>
        <v>12.69</v>
      </c>
      <c r="DB49">
        <v>0</v>
      </c>
    </row>
    <row r="50" spans="1:106" ht="12.75">
      <c r="A50">
        <f>ROW(Source!A161)</f>
        <v>161</v>
      </c>
      <c r="B50">
        <v>34388368</v>
      </c>
      <c r="C50">
        <v>34388995</v>
      </c>
      <c r="D50">
        <v>7231005</v>
      </c>
      <c r="E50">
        <v>1</v>
      </c>
      <c r="F50">
        <v>1</v>
      </c>
      <c r="G50">
        <v>7157832</v>
      </c>
      <c r="H50">
        <v>2</v>
      </c>
      <c r="I50" t="s">
        <v>424</v>
      </c>
      <c r="J50" t="s">
        <v>425</v>
      </c>
      <c r="K50" t="s">
        <v>426</v>
      </c>
      <c r="L50">
        <v>1368</v>
      </c>
      <c r="N50">
        <v>1011</v>
      </c>
      <c r="O50" t="s">
        <v>211</v>
      </c>
      <c r="P50" t="s">
        <v>211</v>
      </c>
      <c r="Q50">
        <v>1</v>
      </c>
      <c r="W50">
        <v>0</v>
      </c>
      <c r="X50">
        <v>36406169</v>
      </c>
      <c r="Y50">
        <v>1.79</v>
      </c>
      <c r="AA50">
        <v>0</v>
      </c>
      <c r="AB50">
        <v>1299.63</v>
      </c>
      <c r="AC50">
        <v>528.42</v>
      </c>
      <c r="AD50">
        <v>0</v>
      </c>
      <c r="AE50">
        <v>0</v>
      </c>
      <c r="AF50">
        <v>125.13</v>
      </c>
      <c r="AG50">
        <v>24.74</v>
      </c>
      <c r="AH50">
        <v>0</v>
      </c>
      <c r="AI50">
        <v>1</v>
      </c>
      <c r="AJ50">
        <v>9.92</v>
      </c>
      <c r="AK50">
        <v>20.4</v>
      </c>
      <c r="AL50">
        <v>1</v>
      </c>
      <c r="AN50">
        <v>0</v>
      </c>
      <c r="AO50">
        <v>1</v>
      </c>
      <c r="AP50">
        <v>0</v>
      </c>
      <c r="AQ50">
        <v>0</v>
      </c>
      <c r="AR50">
        <v>0</v>
      </c>
      <c r="AT50">
        <v>1.79</v>
      </c>
      <c r="AV50">
        <v>0</v>
      </c>
      <c r="AW50">
        <v>2</v>
      </c>
      <c r="AX50">
        <v>34389010</v>
      </c>
      <c r="AY50">
        <v>1</v>
      </c>
      <c r="AZ50">
        <v>0</v>
      </c>
      <c r="BA50">
        <v>46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Y50*Source!I161</f>
        <v>0.0716</v>
      </c>
      <c r="CY50">
        <f t="shared" si="0"/>
        <v>1299.63</v>
      </c>
      <c r="CZ50">
        <f t="shared" si="1"/>
        <v>125.13</v>
      </c>
      <c r="DA50">
        <f t="shared" si="2"/>
        <v>9.92</v>
      </c>
      <c r="DB50">
        <v>0</v>
      </c>
    </row>
    <row r="51" spans="1:106" ht="12.75">
      <c r="A51">
        <f>ROW(Source!A161)</f>
        <v>161</v>
      </c>
      <c r="B51">
        <v>34388368</v>
      </c>
      <c r="C51">
        <v>34388995</v>
      </c>
      <c r="D51">
        <v>7230967</v>
      </c>
      <c r="E51">
        <v>1</v>
      </c>
      <c r="F51">
        <v>1</v>
      </c>
      <c r="G51">
        <v>7157832</v>
      </c>
      <c r="H51">
        <v>2</v>
      </c>
      <c r="I51" t="s">
        <v>427</v>
      </c>
      <c r="J51" t="s">
        <v>428</v>
      </c>
      <c r="K51" t="s">
        <v>429</v>
      </c>
      <c r="L51">
        <v>1368</v>
      </c>
      <c r="N51">
        <v>1011</v>
      </c>
      <c r="O51" t="s">
        <v>211</v>
      </c>
      <c r="P51" t="s">
        <v>211</v>
      </c>
      <c r="Q51">
        <v>1</v>
      </c>
      <c r="W51">
        <v>0</v>
      </c>
      <c r="X51">
        <v>-729676069</v>
      </c>
      <c r="Y51">
        <v>0.52</v>
      </c>
      <c r="AA51">
        <v>0</v>
      </c>
      <c r="AB51">
        <v>1731.53</v>
      </c>
      <c r="AC51">
        <v>501.93</v>
      </c>
      <c r="AD51">
        <v>0</v>
      </c>
      <c r="AE51">
        <v>0</v>
      </c>
      <c r="AF51">
        <v>178.02</v>
      </c>
      <c r="AG51">
        <v>23.5</v>
      </c>
      <c r="AH51">
        <v>0</v>
      </c>
      <c r="AI51">
        <v>1</v>
      </c>
      <c r="AJ51">
        <v>9.29</v>
      </c>
      <c r="AK51">
        <v>20.4</v>
      </c>
      <c r="AL51">
        <v>1</v>
      </c>
      <c r="AN51">
        <v>0</v>
      </c>
      <c r="AO51">
        <v>1</v>
      </c>
      <c r="AP51">
        <v>0</v>
      </c>
      <c r="AQ51">
        <v>0</v>
      </c>
      <c r="AR51">
        <v>0</v>
      </c>
      <c r="AT51">
        <v>0.52</v>
      </c>
      <c r="AV51">
        <v>0</v>
      </c>
      <c r="AW51">
        <v>2</v>
      </c>
      <c r="AX51">
        <v>34389011</v>
      </c>
      <c r="AY51">
        <v>1</v>
      </c>
      <c r="AZ51">
        <v>0</v>
      </c>
      <c r="BA51">
        <v>47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Y51*Source!I161</f>
        <v>0.020800000000000003</v>
      </c>
      <c r="CY51">
        <f t="shared" si="0"/>
        <v>1731.53</v>
      </c>
      <c r="CZ51">
        <f t="shared" si="1"/>
        <v>178.02</v>
      </c>
      <c r="DA51">
        <f t="shared" si="2"/>
        <v>9.29</v>
      </c>
      <c r="DB51">
        <v>0</v>
      </c>
    </row>
    <row r="52" spans="1:106" ht="12.75">
      <c r="A52">
        <f>ROW(Source!A161)</f>
        <v>161</v>
      </c>
      <c r="B52">
        <v>34388368</v>
      </c>
      <c r="C52">
        <v>34388995</v>
      </c>
      <c r="D52">
        <v>7231827</v>
      </c>
      <c r="E52">
        <v>1</v>
      </c>
      <c r="F52">
        <v>1</v>
      </c>
      <c r="G52">
        <v>7157832</v>
      </c>
      <c r="H52">
        <v>3</v>
      </c>
      <c r="I52" t="s">
        <v>430</v>
      </c>
      <c r="J52" t="s">
        <v>431</v>
      </c>
      <c r="K52" t="s">
        <v>432</v>
      </c>
      <c r="L52">
        <v>1339</v>
      </c>
      <c r="N52">
        <v>1007</v>
      </c>
      <c r="O52" t="s">
        <v>42</v>
      </c>
      <c r="P52" t="s">
        <v>42</v>
      </c>
      <c r="Q52">
        <v>1</v>
      </c>
      <c r="W52">
        <v>0</v>
      </c>
      <c r="X52">
        <v>55300385</v>
      </c>
      <c r="Y52">
        <v>7</v>
      </c>
      <c r="AA52">
        <v>30.04</v>
      </c>
      <c r="AB52">
        <v>0</v>
      </c>
      <c r="AC52">
        <v>0</v>
      </c>
      <c r="AD52">
        <v>0</v>
      </c>
      <c r="AE52">
        <v>7.07</v>
      </c>
      <c r="AF52">
        <v>0</v>
      </c>
      <c r="AG52">
        <v>0</v>
      </c>
      <c r="AH52">
        <v>0</v>
      </c>
      <c r="AI52">
        <v>4.24</v>
      </c>
      <c r="AJ52">
        <v>1</v>
      </c>
      <c r="AK52">
        <v>1</v>
      </c>
      <c r="AL52">
        <v>1</v>
      </c>
      <c r="AN52">
        <v>0</v>
      </c>
      <c r="AO52">
        <v>1</v>
      </c>
      <c r="AP52">
        <v>0</v>
      </c>
      <c r="AQ52">
        <v>0</v>
      </c>
      <c r="AR52">
        <v>0</v>
      </c>
      <c r="AT52">
        <v>7</v>
      </c>
      <c r="AV52">
        <v>0</v>
      </c>
      <c r="AW52">
        <v>2</v>
      </c>
      <c r="AX52">
        <v>34389012</v>
      </c>
      <c r="AY52">
        <v>1</v>
      </c>
      <c r="AZ52">
        <v>0</v>
      </c>
      <c r="BA52">
        <v>48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Y52*Source!I161</f>
        <v>0.28</v>
      </c>
      <c r="CY52">
        <f>AA52</f>
        <v>30.04</v>
      </c>
      <c r="CZ52">
        <f>AE52</f>
        <v>7.07</v>
      </c>
      <c r="DA52">
        <f>AI52</f>
        <v>4.24</v>
      </c>
      <c r="DB52">
        <v>0</v>
      </c>
    </row>
    <row r="53" spans="1:106" ht="12.75">
      <c r="A53">
        <f>ROW(Source!A161)</f>
        <v>161</v>
      </c>
      <c r="B53">
        <v>34388368</v>
      </c>
      <c r="C53">
        <v>34388995</v>
      </c>
      <c r="D53">
        <v>7233183</v>
      </c>
      <c r="E53">
        <v>1</v>
      </c>
      <c r="F53">
        <v>1</v>
      </c>
      <c r="G53">
        <v>7157832</v>
      </c>
      <c r="H53">
        <v>3</v>
      </c>
      <c r="I53" t="s">
        <v>249</v>
      </c>
      <c r="J53" t="s">
        <v>251</v>
      </c>
      <c r="K53" t="s">
        <v>250</v>
      </c>
      <c r="L53">
        <v>1339</v>
      </c>
      <c r="N53">
        <v>1007</v>
      </c>
      <c r="O53" t="s">
        <v>42</v>
      </c>
      <c r="P53" t="s">
        <v>42</v>
      </c>
      <c r="Q53">
        <v>1</v>
      </c>
      <c r="W53">
        <v>0</v>
      </c>
      <c r="X53">
        <v>1316533822</v>
      </c>
      <c r="Y53">
        <v>100</v>
      </c>
      <c r="AA53">
        <v>1511.68</v>
      </c>
      <c r="AB53">
        <v>0</v>
      </c>
      <c r="AC53">
        <v>0</v>
      </c>
      <c r="AD53">
        <v>0</v>
      </c>
      <c r="AE53">
        <v>183.09</v>
      </c>
      <c r="AF53">
        <v>0</v>
      </c>
      <c r="AG53">
        <v>0</v>
      </c>
      <c r="AH53">
        <v>0</v>
      </c>
      <c r="AI53">
        <v>8.24</v>
      </c>
      <c r="AJ53">
        <v>1</v>
      </c>
      <c r="AK53">
        <v>1</v>
      </c>
      <c r="AL53">
        <v>1</v>
      </c>
      <c r="AN53">
        <v>0</v>
      </c>
      <c r="AO53">
        <v>0</v>
      </c>
      <c r="AP53">
        <v>0</v>
      </c>
      <c r="AQ53">
        <v>0</v>
      </c>
      <c r="AR53">
        <v>0</v>
      </c>
      <c r="AT53">
        <v>100</v>
      </c>
      <c r="AV53">
        <v>0</v>
      </c>
      <c r="AW53">
        <v>1</v>
      </c>
      <c r="AX53">
        <v>-1</v>
      </c>
      <c r="AY53">
        <v>0</v>
      </c>
      <c r="AZ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Y53*Source!I161</f>
        <v>4</v>
      </c>
      <c r="CY53">
        <f>AA53</f>
        <v>1511.68</v>
      </c>
      <c r="CZ53">
        <f>AE53</f>
        <v>183.09</v>
      </c>
      <c r="DA53">
        <f>AI53</f>
        <v>8.24</v>
      </c>
      <c r="DB53">
        <v>0</v>
      </c>
    </row>
    <row r="54" spans="1:106" ht="12.75">
      <c r="A54">
        <f>ROW(Source!A163)</f>
        <v>163</v>
      </c>
      <c r="B54">
        <v>34388368</v>
      </c>
      <c r="C54">
        <v>34389015</v>
      </c>
      <c r="D54">
        <v>7157835</v>
      </c>
      <c r="E54">
        <v>7157832</v>
      </c>
      <c r="F54">
        <v>1</v>
      </c>
      <c r="G54">
        <v>7157832</v>
      </c>
      <c r="H54">
        <v>1</v>
      </c>
      <c r="I54" t="s">
        <v>399</v>
      </c>
      <c r="K54" t="s">
        <v>400</v>
      </c>
      <c r="L54">
        <v>1191</v>
      </c>
      <c r="N54">
        <v>1013</v>
      </c>
      <c r="O54" t="s">
        <v>401</v>
      </c>
      <c r="P54" t="s">
        <v>401</v>
      </c>
      <c r="Q54">
        <v>1</v>
      </c>
      <c r="W54">
        <v>0</v>
      </c>
      <c r="X54">
        <v>946207192</v>
      </c>
      <c r="Y54">
        <v>4.29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1</v>
      </c>
      <c r="AJ54">
        <v>1</v>
      </c>
      <c r="AK54">
        <v>1</v>
      </c>
      <c r="AL54">
        <v>1</v>
      </c>
      <c r="AN54">
        <v>0</v>
      </c>
      <c r="AO54">
        <v>1</v>
      </c>
      <c r="AP54">
        <v>0</v>
      </c>
      <c r="AQ54">
        <v>0</v>
      </c>
      <c r="AR54">
        <v>0</v>
      </c>
      <c r="AT54">
        <v>4.29</v>
      </c>
      <c r="AV54">
        <v>1</v>
      </c>
      <c r="AW54">
        <v>2</v>
      </c>
      <c r="AX54">
        <v>34389026</v>
      </c>
      <c r="AY54">
        <v>1</v>
      </c>
      <c r="AZ54">
        <v>0</v>
      </c>
      <c r="BA54">
        <v>50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Y54*Source!I163</f>
        <v>1.028742</v>
      </c>
      <c r="CY54">
        <f>AD54</f>
        <v>0</v>
      </c>
      <c r="CZ54">
        <f>AH54</f>
        <v>0</v>
      </c>
      <c r="DA54">
        <f>AL54</f>
        <v>1</v>
      </c>
      <c r="DB54">
        <v>0</v>
      </c>
    </row>
    <row r="55" spans="1:106" ht="12.75">
      <c r="A55">
        <f>ROW(Source!A163)</f>
        <v>163</v>
      </c>
      <c r="B55">
        <v>34388368</v>
      </c>
      <c r="C55">
        <v>34389015</v>
      </c>
      <c r="D55">
        <v>7231127</v>
      </c>
      <c r="E55">
        <v>1</v>
      </c>
      <c r="F55">
        <v>1</v>
      </c>
      <c r="G55">
        <v>7157832</v>
      </c>
      <c r="H55">
        <v>2</v>
      </c>
      <c r="I55" t="s">
        <v>442</v>
      </c>
      <c r="J55" t="s">
        <v>443</v>
      </c>
      <c r="K55" t="s">
        <v>444</v>
      </c>
      <c r="L55">
        <v>1368</v>
      </c>
      <c r="N55">
        <v>1011</v>
      </c>
      <c r="O55" t="s">
        <v>211</v>
      </c>
      <c r="P55" t="s">
        <v>211</v>
      </c>
      <c r="Q55">
        <v>1</v>
      </c>
      <c r="W55">
        <v>0</v>
      </c>
      <c r="X55">
        <v>906258752</v>
      </c>
      <c r="Y55">
        <v>0.3</v>
      </c>
      <c r="AA55">
        <v>0</v>
      </c>
      <c r="AB55">
        <v>650.9</v>
      </c>
      <c r="AC55">
        <v>394.71</v>
      </c>
      <c r="AD55">
        <v>0</v>
      </c>
      <c r="AE55">
        <v>0</v>
      </c>
      <c r="AF55">
        <v>60.77</v>
      </c>
      <c r="AG55">
        <v>18.48</v>
      </c>
      <c r="AH55">
        <v>0</v>
      </c>
      <c r="AI55">
        <v>1</v>
      </c>
      <c r="AJ55">
        <v>10.23</v>
      </c>
      <c r="AK55">
        <v>20.4</v>
      </c>
      <c r="AL55">
        <v>1</v>
      </c>
      <c r="AN55">
        <v>0</v>
      </c>
      <c r="AO55">
        <v>1</v>
      </c>
      <c r="AP55">
        <v>0</v>
      </c>
      <c r="AQ55">
        <v>0</v>
      </c>
      <c r="AR55">
        <v>0</v>
      </c>
      <c r="AT55">
        <v>0.3</v>
      </c>
      <c r="AV55">
        <v>0</v>
      </c>
      <c r="AW55">
        <v>2</v>
      </c>
      <c r="AX55">
        <v>34389027</v>
      </c>
      <c r="AY55">
        <v>1</v>
      </c>
      <c r="AZ55">
        <v>0</v>
      </c>
      <c r="BA55">
        <v>51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Y55*Source!I163</f>
        <v>0.07194</v>
      </c>
      <c r="CY55">
        <f aca="true" t="shared" si="3" ref="CY55:CY62">AB55</f>
        <v>650.9</v>
      </c>
      <c r="CZ55">
        <f aca="true" t="shared" si="4" ref="CZ55:CZ62">AF55</f>
        <v>60.77</v>
      </c>
      <c r="DA55">
        <f aca="true" t="shared" si="5" ref="DA55:DA62">AJ55</f>
        <v>10.23</v>
      </c>
      <c r="DB55">
        <v>0</v>
      </c>
    </row>
    <row r="56" spans="1:106" ht="12.75">
      <c r="A56">
        <f>ROW(Source!A163)</f>
        <v>163</v>
      </c>
      <c r="B56">
        <v>34388368</v>
      </c>
      <c r="C56">
        <v>34389015</v>
      </c>
      <c r="D56">
        <v>7230893</v>
      </c>
      <c r="E56">
        <v>1</v>
      </c>
      <c r="F56">
        <v>1</v>
      </c>
      <c r="G56">
        <v>7157832</v>
      </c>
      <c r="H56">
        <v>2</v>
      </c>
      <c r="I56" t="s">
        <v>445</v>
      </c>
      <c r="J56" t="s">
        <v>446</v>
      </c>
      <c r="K56" t="s">
        <v>447</v>
      </c>
      <c r="L56">
        <v>1368</v>
      </c>
      <c r="N56">
        <v>1011</v>
      </c>
      <c r="O56" t="s">
        <v>211</v>
      </c>
      <c r="P56" t="s">
        <v>211</v>
      </c>
      <c r="Q56">
        <v>1</v>
      </c>
      <c r="W56">
        <v>0</v>
      </c>
      <c r="X56">
        <v>-1762689579</v>
      </c>
      <c r="Y56">
        <v>0.3</v>
      </c>
      <c r="AA56">
        <v>0</v>
      </c>
      <c r="AB56">
        <v>1021.46</v>
      </c>
      <c r="AC56">
        <v>410.09</v>
      </c>
      <c r="AD56">
        <v>0</v>
      </c>
      <c r="AE56">
        <v>0</v>
      </c>
      <c r="AF56">
        <v>106.74</v>
      </c>
      <c r="AG56">
        <v>19.2</v>
      </c>
      <c r="AH56">
        <v>0</v>
      </c>
      <c r="AI56">
        <v>1</v>
      </c>
      <c r="AJ56">
        <v>9.14</v>
      </c>
      <c r="AK56">
        <v>20.4</v>
      </c>
      <c r="AL56">
        <v>1</v>
      </c>
      <c r="AN56">
        <v>0</v>
      </c>
      <c r="AO56">
        <v>1</v>
      </c>
      <c r="AP56">
        <v>0</v>
      </c>
      <c r="AQ56">
        <v>0</v>
      </c>
      <c r="AR56">
        <v>0</v>
      </c>
      <c r="AT56">
        <v>0.3</v>
      </c>
      <c r="AV56">
        <v>0</v>
      </c>
      <c r="AW56">
        <v>2</v>
      </c>
      <c r="AX56">
        <v>34389028</v>
      </c>
      <c r="AY56">
        <v>1</v>
      </c>
      <c r="AZ56">
        <v>0</v>
      </c>
      <c r="BA56">
        <v>52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Y56*Source!I163</f>
        <v>0.07194</v>
      </c>
      <c r="CY56">
        <f t="shared" si="3"/>
        <v>1021.46</v>
      </c>
      <c r="CZ56">
        <f t="shared" si="4"/>
        <v>106.74</v>
      </c>
      <c r="DA56">
        <f t="shared" si="5"/>
        <v>9.14</v>
      </c>
      <c r="DB56">
        <v>0</v>
      </c>
    </row>
    <row r="57" spans="1:106" ht="12.75">
      <c r="A57">
        <f>ROW(Source!A163)</f>
        <v>163</v>
      </c>
      <c r="B57">
        <v>34388368</v>
      </c>
      <c r="C57">
        <v>34389015</v>
      </c>
      <c r="D57">
        <v>7230976</v>
      </c>
      <c r="E57">
        <v>1</v>
      </c>
      <c r="F57">
        <v>1</v>
      </c>
      <c r="G57">
        <v>7157832</v>
      </c>
      <c r="H57">
        <v>2</v>
      </c>
      <c r="I57" t="s">
        <v>448</v>
      </c>
      <c r="J57" t="s">
        <v>449</v>
      </c>
      <c r="K57" t="s">
        <v>450</v>
      </c>
      <c r="L57">
        <v>1368</v>
      </c>
      <c r="N57">
        <v>1011</v>
      </c>
      <c r="O57" t="s">
        <v>211</v>
      </c>
      <c r="P57" t="s">
        <v>211</v>
      </c>
      <c r="Q57">
        <v>1</v>
      </c>
      <c r="W57">
        <v>0</v>
      </c>
      <c r="X57">
        <v>738676200</v>
      </c>
      <c r="Y57">
        <v>0.3</v>
      </c>
      <c r="AA57">
        <v>0</v>
      </c>
      <c r="AB57">
        <v>1016.39</v>
      </c>
      <c r="AC57">
        <v>611.08</v>
      </c>
      <c r="AD57">
        <v>0</v>
      </c>
      <c r="AE57">
        <v>0</v>
      </c>
      <c r="AF57">
        <v>148.89</v>
      </c>
      <c r="AG57">
        <v>28.61</v>
      </c>
      <c r="AH57">
        <v>0</v>
      </c>
      <c r="AI57">
        <v>1</v>
      </c>
      <c r="AJ57">
        <v>6.52</v>
      </c>
      <c r="AK57">
        <v>20.4</v>
      </c>
      <c r="AL57">
        <v>1</v>
      </c>
      <c r="AN57">
        <v>0</v>
      </c>
      <c r="AO57">
        <v>1</v>
      </c>
      <c r="AP57">
        <v>0</v>
      </c>
      <c r="AQ57">
        <v>0</v>
      </c>
      <c r="AR57">
        <v>0</v>
      </c>
      <c r="AT57">
        <v>0.3</v>
      </c>
      <c r="AV57">
        <v>0</v>
      </c>
      <c r="AW57">
        <v>2</v>
      </c>
      <c r="AX57">
        <v>34389029</v>
      </c>
      <c r="AY57">
        <v>1</v>
      </c>
      <c r="AZ57">
        <v>0</v>
      </c>
      <c r="BA57">
        <v>53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Y57*Source!I163</f>
        <v>0.07194</v>
      </c>
      <c r="CY57">
        <f t="shared" si="3"/>
        <v>1016.39</v>
      </c>
      <c r="CZ57">
        <f t="shared" si="4"/>
        <v>148.89</v>
      </c>
      <c r="DA57">
        <f t="shared" si="5"/>
        <v>6.52</v>
      </c>
      <c r="DB57">
        <v>0</v>
      </c>
    </row>
    <row r="58" spans="1:106" ht="12.75">
      <c r="A58">
        <f>ROW(Source!A163)</f>
        <v>163</v>
      </c>
      <c r="B58">
        <v>34388368</v>
      </c>
      <c r="C58">
        <v>34389015</v>
      </c>
      <c r="D58">
        <v>7230978</v>
      </c>
      <c r="E58">
        <v>1</v>
      </c>
      <c r="F58">
        <v>1</v>
      </c>
      <c r="G58">
        <v>7157832</v>
      </c>
      <c r="H58">
        <v>2</v>
      </c>
      <c r="I58" t="s">
        <v>451</v>
      </c>
      <c r="J58" t="s">
        <v>452</v>
      </c>
      <c r="K58" t="s">
        <v>453</v>
      </c>
      <c r="L58">
        <v>1368</v>
      </c>
      <c r="N58">
        <v>1011</v>
      </c>
      <c r="O58" t="s">
        <v>211</v>
      </c>
      <c r="P58" t="s">
        <v>211</v>
      </c>
      <c r="Q58">
        <v>1</v>
      </c>
      <c r="W58">
        <v>0</v>
      </c>
      <c r="X58">
        <v>714527484</v>
      </c>
      <c r="Y58">
        <v>0.3</v>
      </c>
      <c r="AA58">
        <v>0</v>
      </c>
      <c r="AB58">
        <v>2785.99</v>
      </c>
      <c r="AC58">
        <v>915.22</v>
      </c>
      <c r="AD58">
        <v>0</v>
      </c>
      <c r="AE58">
        <v>0</v>
      </c>
      <c r="AF58">
        <v>249.15</v>
      </c>
      <c r="AG58">
        <v>42.85</v>
      </c>
      <c r="AH58">
        <v>0</v>
      </c>
      <c r="AI58">
        <v>1</v>
      </c>
      <c r="AJ58">
        <v>10.68</v>
      </c>
      <c r="AK58">
        <v>20.4</v>
      </c>
      <c r="AL58">
        <v>1</v>
      </c>
      <c r="AN58">
        <v>0</v>
      </c>
      <c r="AO58">
        <v>1</v>
      </c>
      <c r="AP58">
        <v>0</v>
      </c>
      <c r="AQ58">
        <v>0</v>
      </c>
      <c r="AR58">
        <v>0</v>
      </c>
      <c r="AT58">
        <v>0.3</v>
      </c>
      <c r="AV58">
        <v>0</v>
      </c>
      <c r="AW58">
        <v>2</v>
      </c>
      <c r="AX58">
        <v>34389030</v>
      </c>
      <c r="AY58">
        <v>1</v>
      </c>
      <c r="AZ58">
        <v>0</v>
      </c>
      <c r="BA58">
        <v>54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Y58*Source!I163</f>
        <v>0.07194</v>
      </c>
      <c r="CY58">
        <f t="shared" si="3"/>
        <v>2785.99</v>
      </c>
      <c r="CZ58">
        <f t="shared" si="4"/>
        <v>249.15</v>
      </c>
      <c r="DA58">
        <f t="shared" si="5"/>
        <v>10.68</v>
      </c>
      <c r="DB58">
        <v>0</v>
      </c>
    </row>
    <row r="59" spans="1:106" ht="12.75">
      <c r="A59">
        <f>ROW(Source!A163)</f>
        <v>163</v>
      </c>
      <c r="B59">
        <v>34388368</v>
      </c>
      <c r="C59">
        <v>34389015</v>
      </c>
      <c r="D59">
        <v>7230962</v>
      </c>
      <c r="E59">
        <v>1</v>
      </c>
      <c r="F59">
        <v>1</v>
      </c>
      <c r="G59">
        <v>7157832</v>
      </c>
      <c r="H59">
        <v>2</v>
      </c>
      <c r="I59" t="s">
        <v>436</v>
      </c>
      <c r="J59" t="s">
        <v>437</v>
      </c>
      <c r="K59" t="s">
        <v>438</v>
      </c>
      <c r="L59">
        <v>1368</v>
      </c>
      <c r="N59">
        <v>1011</v>
      </c>
      <c r="O59" t="s">
        <v>211</v>
      </c>
      <c r="P59" t="s">
        <v>211</v>
      </c>
      <c r="Q59">
        <v>1</v>
      </c>
      <c r="W59">
        <v>0</v>
      </c>
      <c r="X59">
        <v>633757042</v>
      </c>
      <c r="Y59">
        <v>0.3</v>
      </c>
      <c r="AA59">
        <v>0</v>
      </c>
      <c r="AB59">
        <v>1083.44</v>
      </c>
      <c r="AC59">
        <v>488.05</v>
      </c>
      <c r="AD59">
        <v>0</v>
      </c>
      <c r="AE59">
        <v>0</v>
      </c>
      <c r="AF59">
        <v>84.82</v>
      </c>
      <c r="AG59">
        <v>22.85</v>
      </c>
      <c r="AH59">
        <v>0</v>
      </c>
      <c r="AI59">
        <v>1</v>
      </c>
      <c r="AJ59">
        <v>12.2</v>
      </c>
      <c r="AK59">
        <v>20.4</v>
      </c>
      <c r="AL59">
        <v>1</v>
      </c>
      <c r="AN59">
        <v>0</v>
      </c>
      <c r="AO59">
        <v>1</v>
      </c>
      <c r="AP59">
        <v>0</v>
      </c>
      <c r="AQ59">
        <v>0</v>
      </c>
      <c r="AR59">
        <v>0</v>
      </c>
      <c r="AT59">
        <v>0.3</v>
      </c>
      <c r="AV59">
        <v>0</v>
      </c>
      <c r="AW59">
        <v>2</v>
      </c>
      <c r="AX59">
        <v>34389031</v>
      </c>
      <c r="AY59">
        <v>1</v>
      </c>
      <c r="AZ59">
        <v>0</v>
      </c>
      <c r="BA59">
        <v>55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Y59*Source!I163</f>
        <v>0.07194</v>
      </c>
      <c r="CY59">
        <f t="shared" si="3"/>
        <v>1083.44</v>
      </c>
      <c r="CZ59">
        <f t="shared" si="4"/>
        <v>84.82</v>
      </c>
      <c r="DA59">
        <f t="shared" si="5"/>
        <v>12.2</v>
      </c>
      <c r="DB59">
        <v>0</v>
      </c>
    </row>
    <row r="60" spans="1:106" ht="12.75">
      <c r="A60">
        <f>ROW(Source!A163)</f>
        <v>163</v>
      </c>
      <c r="B60">
        <v>34388368</v>
      </c>
      <c r="C60">
        <v>34389015</v>
      </c>
      <c r="D60">
        <v>7230993</v>
      </c>
      <c r="E60">
        <v>1</v>
      </c>
      <c r="F60">
        <v>1</v>
      </c>
      <c r="G60">
        <v>7157832</v>
      </c>
      <c r="H60">
        <v>2</v>
      </c>
      <c r="I60" t="s">
        <v>454</v>
      </c>
      <c r="J60" t="s">
        <v>455</v>
      </c>
      <c r="K60" t="s">
        <v>456</v>
      </c>
      <c r="L60">
        <v>1368</v>
      </c>
      <c r="N60">
        <v>1011</v>
      </c>
      <c r="O60" t="s">
        <v>211</v>
      </c>
      <c r="P60" t="s">
        <v>211</v>
      </c>
      <c r="Q60">
        <v>1</v>
      </c>
      <c r="W60">
        <v>0</v>
      </c>
      <c r="X60">
        <v>-1025674698</v>
      </c>
      <c r="Y60">
        <v>0.3</v>
      </c>
      <c r="AA60">
        <v>0</v>
      </c>
      <c r="AB60">
        <v>1050.17</v>
      </c>
      <c r="AC60">
        <v>606.59</v>
      </c>
      <c r="AD60">
        <v>0</v>
      </c>
      <c r="AE60">
        <v>0</v>
      </c>
      <c r="AF60">
        <v>124.6</v>
      </c>
      <c r="AG60">
        <v>28.4</v>
      </c>
      <c r="AH60">
        <v>0</v>
      </c>
      <c r="AI60">
        <v>1</v>
      </c>
      <c r="AJ60">
        <v>8.05</v>
      </c>
      <c r="AK60">
        <v>20.4</v>
      </c>
      <c r="AL60">
        <v>1</v>
      </c>
      <c r="AN60">
        <v>0</v>
      </c>
      <c r="AO60">
        <v>1</v>
      </c>
      <c r="AP60">
        <v>0</v>
      </c>
      <c r="AQ60">
        <v>0</v>
      </c>
      <c r="AR60">
        <v>0</v>
      </c>
      <c r="AT60">
        <v>0.3</v>
      </c>
      <c r="AV60">
        <v>0</v>
      </c>
      <c r="AW60">
        <v>2</v>
      </c>
      <c r="AX60">
        <v>34389032</v>
      </c>
      <c r="AY60">
        <v>1</v>
      </c>
      <c r="AZ60">
        <v>0</v>
      </c>
      <c r="BA60">
        <v>56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Y60*Source!I163</f>
        <v>0.07194</v>
      </c>
      <c r="CY60">
        <f t="shared" si="3"/>
        <v>1050.17</v>
      </c>
      <c r="CZ60">
        <f t="shared" si="4"/>
        <v>124.6</v>
      </c>
      <c r="DA60">
        <f t="shared" si="5"/>
        <v>8.05</v>
      </c>
      <c r="DB60">
        <v>0</v>
      </c>
    </row>
    <row r="61" spans="1:106" ht="12.75">
      <c r="A61">
        <f>ROW(Source!A163)</f>
        <v>163</v>
      </c>
      <c r="B61">
        <v>34388368</v>
      </c>
      <c r="C61">
        <v>34389015</v>
      </c>
      <c r="D61">
        <v>7230966</v>
      </c>
      <c r="E61">
        <v>1</v>
      </c>
      <c r="F61">
        <v>1</v>
      </c>
      <c r="G61">
        <v>7157832</v>
      </c>
      <c r="H61">
        <v>2</v>
      </c>
      <c r="I61" t="s">
        <v>457</v>
      </c>
      <c r="J61" t="s">
        <v>458</v>
      </c>
      <c r="K61" t="s">
        <v>459</v>
      </c>
      <c r="L61">
        <v>1368</v>
      </c>
      <c r="N61">
        <v>1011</v>
      </c>
      <c r="O61" t="s">
        <v>211</v>
      </c>
      <c r="P61" t="s">
        <v>211</v>
      </c>
      <c r="Q61">
        <v>1</v>
      </c>
      <c r="W61">
        <v>0</v>
      </c>
      <c r="X61">
        <v>-848822828</v>
      </c>
      <c r="Y61">
        <v>0.3</v>
      </c>
      <c r="AA61">
        <v>0</v>
      </c>
      <c r="AB61">
        <v>1152.31</v>
      </c>
      <c r="AC61">
        <v>495.1</v>
      </c>
      <c r="AD61">
        <v>0</v>
      </c>
      <c r="AE61">
        <v>0</v>
      </c>
      <c r="AF61">
        <v>88.4</v>
      </c>
      <c r="AG61">
        <v>23.18</v>
      </c>
      <c r="AH61">
        <v>0</v>
      </c>
      <c r="AI61">
        <v>1</v>
      </c>
      <c r="AJ61">
        <v>12.45</v>
      </c>
      <c r="AK61">
        <v>20.4</v>
      </c>
      <c r="AL61">
        <v>1</v>
      </c>
      <c r="AN61">
        <v>0</v>
      </c>
      <c r="AO61">
        <v>1</v>
      </c>
      <c r="AP61">
        <v>0</v>
      </c>
      <c r="AQ61">
        <v>0</v>
      </c>
      <c r="AR61">
        <v>0</v>
      </c>
      <c r="AT61">
        <v>0.3</v>
      </c>
      <c r="AV61">
        <v>0</v>
      </c>
      <c r="AW61">
        <v>2</v>
      </c>
      <c r="AX61">
        <v>34389033</v>
      </c>
      <c r="AY61">
        <v>1</v>
      </c>
      <c r="AZ61">
        <v>0</v>
      </c>
      <c r="BA61">
        <v>57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Y61*Source!I163</f>
        <v>0.07194</v>
      </c>
      <c r="CY61">
        <f t="shared" si="3"/>
        <v>1152.31</v>
      </c>
      <c r="CZ61">
        <f t="shared" si="4"/>
        <v>88.4</v>
      </c>
      <c r="DA61">
        <f t="shared" si="5"/>
        <v>12.45</v>
      </c>
      <c r="DB61">
        <v>0</v>
      </c>
    </row>
    <row r="62" spans="1:106" ht="12.75">
      <c r="A62">
        <f>ROW(Source!A163)</f>
        <v>163</v>
      </c>
      <c r="B62">
        <v>34388368</v>
      </c>
      <c r="C62">
        <v>34389015</v>
      </c>
      <c r="D62">
        <v>7230967</v>
      </c>
      <c r="E62">
        <v>1</v>
      </c>
      <c r="F62">
        <v>1</v>
      </c>
      <c r="G62">
        <v>7157832</v>
      </c>
      <c r="H62">
        <v>2</v>
      </c>
      <c r="I62" t="s">
        <v>427</v>
      </c>
      <c r="J62" t="s">
        <v>428</v>
      </c>
      <c r="K62" t="s">
        <v>429</v>
      </c>
      <c r="L62">
        <v>1368</v>
      </c>
      <c r="N62">
        <v>1011</v>
      </c>
      <c r="O62" t="s">
        <v>211</v>
      </c>
      <c r="P62" t="s">
        <v>211</v>
      </c>
      <c r="Q62">
        <v>1</v>
      </c>
      <c r="W62">
        <v>0</v>
      </c>
      <c r="X62">
        <v>-729676069</v>
      </c>
      <c r="Y62">
        <v>0.9</v>
      </c>
      <c r="AA62">
        <v>0</v>
      </c>
      <c r="AB62">
        <v>1731.53</v>
      </c>
      <c r="AC62">
        <v>501.93</v>
      </c>
      <c r="AD62">
        <v>0</v>
      </c>
      <c r="AE62">
        <v>0</v>
      </c>
      <c r="AF62">
        <v>178.02</v>
      </c>
      <c r="AG62">
        <v>23.5</v>
      </c>
      <c r="AH62">
        <v>0</v>
      </c>
      <c r="AI62">
        <v>1</v>
      </c>
      <c r="AJ62">
        <v>9.29</v>
      </c>
      <c r="AK62">
        <v>20.4</v>
      </c>
      <c r="AL62">
        <v>1</v>
      </c>
      <c r="AN62">
        <v>0</v>
      </c>
      <c r="AO62">
        <v>1</v>
      </c>
      <c r="AP62">
        <v>0</v>
      </c>
      <c r="AQ62">
        <v>0</v>
      </c>
      <c r="AR62">
        <v>0</v>
      </c>
      <c r="AT62">
        <v>0.9</v>
      </c>
      <c r="AV62">
        <v>0</v>
      </c>
      <c r="AW62">
        <v>2</v>
      </c>
      <c r="AX62">
        <v>34389034</v>
      </c>
      <c r="AY62">
        <v>1</v>
      </c>
      <c r="AZ62">
        <v>0</v>
      </c>
      <c r="BA62">
        <v>58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Y62*Source!I163</f>
        <v>0.21582</v>
      </c>
      <c r="CY62">
        <f t="shared" si="3"/>
        <v>1731.53</v>
      </c>
      <c r="CZ62">
        <f t="shared" si="4"/>
        <v>178.02</v>
      </c>
      <c r="DA62">
        <f t="shared" si="5"/>
        <v>9.29</v>
      </c>
      <c r="DB62">
        <v>0</v>
      </c>
    </row>
    <row r="63" spans="1:106" ht="12.75">
      <c r="A63">
        <f>ROW(Source!A163)</f>
        <v>163</v>
      </c>
      <c r="B63">
        <v>34388368</v>
      </c>
      <c r="C63">
        <v>34389015</v>
      </c>
      <c r="D63">
        <v>7235091</v>
      </c>
      <c r="E63">
        <v>1</v>
      </c>
      <c r="F63">
        <v>1</v>
      </c>
      <c r="G63">
        <v>7157832</v>
      </c>
      <c r="H63">
        <v>3</v>
      </c>
      <c r="I63" t="s">
        <v>460</v>
      </c>
      <c r="J63" t="s">
        <v>461</v>
      </c>
      <c r="K63" t="s">
        <v>462</v>
      </c>
      <c r="L63">
        <v>1348</v>
      </c>
      <c r="N63">
        <v>1009</v>
      </c>
      <c r="O63" t="s">
        <v>265</v>
      </c>
      <c r="P63" t="s">
        <v>265</v>
      </c>
      <c r="Q63">
        <v>1000</v>
      </c>
      <c r="W63">
        <v>0</v>
      </c>
      <c r="X63">
        <v>-1274242938</v>
      </c>
      <c r="Y63">
        <v>0.04</v>
      </c>
      <c r="AA63">
        <v>12955</v>
      </c>
      <c r="AB63">
        <v>0</v>
      </c>
      <c r="AC63">
        <v>0</v>
      </c>
      <c r="AD63">
        <v>0</v>
      </c>
      <c r="AE63">
        <v>1445.87</v>
      </c>
      <c r="AF63">
        <v>0</v>
      </c>
      <c r="AG63">
        <v>0</v>
      </c>
      <c r="AH63">
        <v>0</v>
      </c>
      <c r="AI63">
        <v>8.96</v>
      </c>
      <c r="AJ63">
        <v>1</v>
      </c>
      <c r="AK63">
        <v>1</v>
      </c>
      <c r="AL63">
        <v>1</v>
      </c>
      <c r="AN63">
        <v>0</v>
      </c>
      <c r="AO63">
        <v>1</v>
      </c>
      <c r="AP63">
        <v>0</v>
      </c>
      <c r="AQ63">
        <v>0</v>
      </c>
      <c r="AR63">
        <v>0</v>
      </c>
      <c r="AT63">
        <v>0.04</v>
      </c>
      <c r="AV63">
        <v>0</v>
      </c>
      <c r="AW63">
        <v>2</v>
      </c>
      <c r="AX63">
        <v>34389035</v>
      </c>
      <c r="AY63">
        <v>1</v>
      </c>
      <c r="AZ63">
        <v>0</v>
      </c>
      <c r="BA63">
        <v>59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Y63*Source!I163</f>
        <v>0.009592000000000002</v>
      </c>
      <c r="CY63">
        <f>AA63</f>
        <v>12955</v>
      </c>
      <c r="CZ63">
        <f>AE63</f>
        <v>1445.87</v>
      </c>
      <c r="DA63">
        <f>AI63</f>
        <v>8.96</v>
      </c>
      <c r="DB63">
        <v>0</v>
      </c>
    </row>
    <row r="64" spans="1:106" ht="12.75">
      <c r="A64">
        <f>ROW(Source!A164)</f>
        <v>164</v>
      </c>
      <c r="B64">
        <v>34388368</v>
      </c>
      <c r="C64">
        <v>34389037</v>
      </c>
      <c r="D64">
        <v>7157835</v>
      </c>
      <c r="E64">
        <v>7157832</v>
      </c>
      <c r="F64">
        <v>1</v>
      </c>
      <c r="G64">
        <v>7157832</v>
      </c>
      <c r="H64">
        <v>1</v>
      </c>
      <c r="I64" t="s">
        <v>399</v>
      </c>
      <c r="K64" t="s">
        <v>400</v>
      </c>
      <c r="L64">
        <v>1191</v>
      </c>
      <c r="N64">
        <v>1013</v>
      </c>
      <c r="O64" t="s">
        <v>401</v>
      </c>
      <c r="P64" t="s">
        <v>401</v>
      </c>
      <c r="Q64">
        <v>1</v>
      </c>
      <c r="W64">
        <v>0</v>
      </c>
      <c r="X64">
        <v>946207192</v>
      </c>
      <c r="Y64">
        <v>0.53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1</v>
      </c>
      <c r="AJ64">
        <v>1</v>
      </c>
      <c r="AK64">
        <v>1</v>
      </c>
      <c r="AL64">
        <v>1</v>
      </c>
      <c r="AN64">
        <v>0</v>
      </c>
      <c r="AO64">
        <v>1</v>
      </c>
      <c r="AP64">
        <v>0</v>
      </c>
      <c r="AQ64">
        <v>0</v>
      </c>
      <c r="AR64">
        <v>0</v>
      </c>
      <c r="AT64">
        <v>0.53</v>
      </c>
      <c r="AV64">
        <v>1</v>
      </c>
      <c r="AW64">
        <v>2</v>
      </c>
      <c r="AX64">
        <v>34389041</v>
      </c>
      <c r="AY64">
        <v>1</v>
      </c>
      <c r="AZ64">
        <v>0</v>
      </c>
      <c r="BA64">
        <v>61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Y64*Source!I164</f>
        <v>0.508376</v>
      </c>
      <c r="CY64">
        <f>AD64</f>
        <v>0</v>
      </c>
      <c r="CZ64">
        <f>AH64</f>
        <v>0</v>
      </c>
      <c r="DA64">
        <f>AL64</f>
        <v>1</v>
      </c>
      <c r="DB64">
        <v>0</v>
      </c>
    </row>
    <row r="65" spans="1:106" ht="12.75">
      <c r="A65">
        <f>ROW(Source!A164)</f>
        <v>164</v>
      </c>
      <c r="B65">
        <v>34388368</v>
      </c>
      <c r="C65">
        <v>34389037</v>
      </c>
      <c r="D65">
        <v>7230893</v>
      </c>
      <c r="E65">
        <v>1</v>
      </c>
      <c r="F65">
        <v>1</v>
      </c>
      <c r="G65">
        <v>7157832</v>
      </c>
      <c r="H65">
        <v>2</v>
      </c>
      <c r="I65" t="s">
        <v>445</v>
      </c>
      <c r="J65" t="s">
        <v>446</v>
      </c>
      <c r="K65" t="s">
        <v>447</v>
      </c>
      <c r="L65">
        <v>1368</v>
      </c>
      <c r="N65">
        <v>1011</v>
      </c>
      <c r="O65" t="s">
        <v>211</v>
      </c>
      <c r="P65" t="s">
        <v>211</v>
      </c>
      <c r="Q65">
        <v>1</v>
      </c>
      <c r="W65">
        <v>0</v>
      </c>
      <c r="X65">
        <v>-1762689579</v>
      </c>
      <c r="Y65">
        <v>0.075</v>
      </c>
      <c r="AA65">
        <v>0</v>
      </c>
      <c r="AB65">
        <v>1021.46</v>
      </c>
      <c r="AC65">
        <v>410.09</v>
      </c>
      <c r="AD65">
        <v>0</v>
      </c>
      <c r="AE65">
        <v>0</v>
      </c>
      <c r="AF65">
        <v>106.74</v>
      </c>
      <c r="AG65">
        <v>19.2</v>
      </c>
      <c r="AH65">
        <v>0</v>
      </c>
      <c r="AI65">
        <v>1</v>
      </c>
      <c r="AJ65">
        <v>9.14</v>
      </c>
      <c r="AK65">
        <v>20.4</v>
      </c>
      <c r="AL65">
        <v>1</v>
      </c>
      <c r="AN65">
        <v>0</v>
      </c>
      <c r="AO65">
        <v>1</v>
      </c>
      <c r="AP65">
        <v>0</v>
      </c>
      <c r="AQ65">
        <v>0</v>
      </c>
      <c r="AR65">
        <v>0</v>
      </c>
      <c r="AT65">
        <v>0.075</v>
      </c>
      <c r="AV65">
        <v>0</v>
      </c>
      <c r="AW65">
        <v>2</v>
      </c>
      <c r="AX65">
        <v>34389042</v>
      </c>
      <c r="AY65">
        <v>1</v>
      </c>
      <c r="AZ65">
        <v>0</v>
      </c>
      <c r="BA65">
        <v>62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Y65*Source!I164</f>
        <v>0.07194</v>
      </c>
      <c r="CY65">
        <f>AB65</f>
        <v>1021.46</v>
      </c>
      <c r="CZ65">
        <f>AF65</f>
        <v>106.74</v>
      </c>
      <c r="DA65">
        <f>AJ65</f>
        <v>9.14</v>
      </c>
      <c r="DB65">
        <v>0</v>
      </c>
    </row>
    <row r="66" spans="1:106" ht="12.75">
      <c r="A66">
        <f>ROW(Source!A164)</f>
        <v>164</v>
      </c>
      <c r="B66">
        <v>34388368</v>
      </c>
      <c r="C66">
        <v>34389037</v>
      </c>
      <c r="D66">
        <v>7230993</v>
      </c>
      <c r="E66">
        <v>1</v>
      </c>
      <c r="F66">
        <v>1</v>
      </c>
      <c r="G66">
        <v>7157832</v>
      </c>
      <c r="H66">
        <v>2</v>
      </c>
      <c r="I66" t="s">
        <v>454</v>
      </c>
      <c r="J66" t="s">
        <v>455</v>
      </c>
      <c r="K66" t="s">
        <v>456</v>
      </c>
      <c r="L66">
        <v>1368</v>
      </c>
      <c r="N66">
        <v>1011</v>
      </c>
      <c r="O66" t="s">
        <v>211</v>
      </c>
      <c r="P66" t="s">
        <v>211</v>
      </c>
      <c r="Q66">
        <v>1</v>
      </c>
      <c r="W66">
        <v>0</v>
      </c>
      <c r="X66">
        <v>-1025674698</v>
      </c>
      <c r="Y66">
        <v>0.075</v>
      </c>
      <c r="AA66">
        <v>0</v>
      </c>
      <c r="AB66">
        <v>1050.17</v>
      </c>
      <c r="AC66">
        <v>606.59</v>
      </c>
      <c r="AD66">
        <v>0</v>
      </c>
      <c r="AE66">
        <v>0</v>
      </c>
      <c r="AF66">
        <v>124.6</v>
      </c>
      <c r="AG66">
        <v>28.4</v>
      </c>
      <c r="AH66">
        <v>0</v>
      </c>
      <c r="AI66">
        <v>1</v>
      </c>
      <c r="AJ66">
        <v>8.05</v>
      </c>
      <c r="AK66">
        <v>20.4</v>
      </c>
      <c r="AL66">
        <v>1</v>
      </c>
      <c r="AN66">
        <v>0</v>
      </c>
      <c r="AO66">
        <v>1</v>
      </c>
      <c r="AP66">
        <v>0</v>
      </c>
      <c r="AQ66">
        <v>0</v>
      </c>
      <c r="AR66">
        <v>0</v>
      </c>
      <c r="AT66">
        <v>0.075</v>
      </c>
      <c r="AV66">
        <v>0</v>
      </c>
      <c r="AW66">
        <v>2</v>
      </c>
      <c r="AX66">
        <v>34389043</v>
      </c>
      <c r="AY66">
        <v>1</v>
      </c>
      <c r="AZ66">
        <v>0</v>
      </c>
      <c r="BA66">
        <v>63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Y66*Source!I164</f>
        <v>0.07194</v>
      </c>
      <c r="CY66">
        <f>AB66</f>
        <v>1050.17</v>
      </c>
      <c r="CZ66">
        <f>AF66</f>
        <v>124.6</v>
      </c>
      <c r="DA66">
        <f>AJ66</f>
        <v>8.05</v>
      </c>
      <c r="DB66">
        <v>0</v>
      </c>
    </row>
    <row r="67" spans="1:106" ht="12.75">
      <c r="A67">
        <f>ROW(Source!A166)</f>
        <v>166</v>
      </c>
      <c r="B67">
        <v>34388368</v>
      </c>
      <c r="C67">
        <v>34389046</v>
      </c>
      <c r="D67">
        <v>7157835</v>
      </c>
      <c r="E67">
        <v>7157832</v>
      </c>
      <c r="F67">
        <v>1</v>
      </c>
      <c r="G67">
        <v>7157832</v>
      </c>
      <c r="H67">
        <v>1</v>
      </c>
      <c r="I67" t="s">
        <v>399</v>
      </c>
      <c r="K67" t="s">
        <v>400</v>
      </c>
      <c r="L67">
        <v>1191</v>
      </c>
      <c r="N67">
        <v>1013</v>
      </c>
      <c r="O67" t="s">
        <v>401</v>
      </c>
      <c r="P67" t="s">
        <v>401</v>
      </c>
      <c r="Q67">
        <v>1</v>
      </c>
      <c r="W67">
        <v>0</v>
      </c>
      <c r="X67">
        <v>946207192</v>
      </c>
      <c r="Y67">
        <v>4.29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1</v>
      </c>
      <c r="AJ67">
        <v>1</v>
      </c>
      <c r="AK67">
        <v>1</v>
      </c>
      <c r="AL67">
        <v>1</v>
      </c>
      <c r="AN67">
        <v>0</v>
      </c>
      <c r="AO67">
        <v>1</v>
      </c>
      <c r="AP67">
        <v>0</v>
      </c>
      <c r="AQ67">
        <v>0</v>
      </c>
      <c r="AR67">
        <v>0</v>
      </c>
      <c r="AT67">
        <v>4.29</v>
      </c>
      <c r="AV67">
        <v>1</v>
      </c>
      <c r="AW67">
        <v>2</v>
      </c>
      <c r="AX67">
        <v>34389057</v>
      </c>
      <c r="AY67">
        <v>1</v>
      </c>
      <c r="AZ67">
        <v>0</v>
      </c>
      <c r="BA67">
        <v>65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Y67*Source!I166</f>
        <v>1.6731</v>
      </c>
      <c r="CY67">
        <f>AD67</f>
        <v>0</v>
      </c>
      <c r="CZ67">
        <f>AH67</f>
        <v>0</v>
      </c>
      <c r="DA67">
        <f>AL67</f>
        <v>1</v>
      </c>
      <c r="DB67">
        <v>0</v>
      </c>
    </row>
    <row r="68" spans="1:106" ht="12.75">
      <c r="A68">
        <f>ROW(Source!A166)</f>
        <v>166</v>
      </c>
      <c r="B68">
        <v>34388368</v>
      </c>
      <c r="C68">
        <v>34389046</v>
      </c>
      <c r="D68">
        <v>7231127</v>
      </c>
      <c r="E68">
        <v>1</v>
      </c>
      <c r="F68">
        <v>1</v>
      </c>
      <c r="G68">
        <v>7157832</v>
      </c>
      <c r="H68">
        <v>2</v>
      </c>
      <c r="I68" t="s">
        <v>442</v>
      </c>
      <c r="J68" t="s">
        <v>443</v>
      </c>
      <c r="K68" t="s">
        <v>444</v>
      </c>
      <c r="L68">
        <v>1368</v>
      </c>
      <c r="N68">
        <v>1011</v>
      </c>
      <c r="O68" t="s">
        <v>211</v>
      </c>
      <c r="P68" t="s">
        <v>211</v>
      </c>
      <c r="Q68">
        <v>1</v>
      </c>
      <c r="W68">
        <v>0</v>
      </c>
      <c r="X68">
        <v>906258752</v>
      </c>
      <c r="Y68">
        <v>0.3</v>
      </c>
      <c r="AA68">
        <v>0</v>
      </c>
      <c r="AB68">
        <v>650.9</v>
      </c>
      <c r="AC68">
        <v>394.71</v>
      </c>
      <c r="AD68">
        <v>0</v>
      </c>
      <c r="AE68">
        <v>0</v>
      </c>
      <c r="AF68">
        <v>60.77</v>
      </c>
      <c r="AG68">
        <v>18.48</v>
      </c>
      <c r="AH68">
        <v>0</v>
      </c>
      <c r="AI68">
        <v>1</v>
      </c>
      <c r="AJ68">
        <v>10.23</v>
      </c>
      <c r="AK68">
        <v>20.4</v>
      </c>
      <c r="AL68">
        <v>1</v>
      </c>
      <c r="AN68">
        <v>0</v>
      </c>
      <c r="AO68">
        <v>1</v>
      </c>
      <c r="AP68">
        <v>0</v>
      </c>
      <c r="AQ68">
        <v>0</v>
      </c>
      <c r="AR68">
        <v>0</v>
      </c>
      <c r="AT68">
        <v>0.3</v>
      </c>
      <c r="AV68">
        <v>0</v>
      </c>
      <c r="AW68">
        <v>2</v>
      </c>
      <c r="AX68">
        <v>34389058</v>
      </c>
      <c r="AY68">
        <v>1</v>
      </c>
      <c r="AZ68">
        <v>0</v>
      </c>
      <c r="BA68">
        <v>66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Y68*Source!I166</f>
        <v>0.11699999999999999</v>
      </c>
      <c r="CY68">
        <f aca="true" t="shared" si="6" ref="CY68:CY75">AB68</f>
        <v>650.9</v>
      </c>
      <c r="CZ68">
        <f aca="true" t="shared" si="7" ref="CZ68:CZ75">AF68</f>
        <v>60.77</v>
      </c>
      <c r="DA68">
        <f aca="true" t="shared" si="8" ref="DA68:DA75">AJ68</f>
        <v>10.23</v>
      </c>
      <c r="DB68">
        <v>0</v>
      </c>
    </row>
    <row r="69" spans="1:106" ht="12.75">
      <c r="A69">
        <f>ROW(Source!A166)</f>
        <v>166</v>
      </c>
      <c r="B69">
        <v>34388368</v>
      </c>
      <c r="C69">
        <v>34389046</v>
      </c>
      <c r="D69">
        <v>7230893</v>
      </c>
      <c r="E69">
        <v>1</v>
      </c>
      <c r="F69">
        <v>1</v>
      </c>
      <c r="G69">
        <v>7157832</v>
      </c>
      <c r="H69">
        <v>2</v>
      </c>
      <c r="I69" t="s">
        <v>445</v>
      </c>
      <c r="J69" t="s">
        <v>446</v>
      </c>
      <c r="K69" t="s">
        <v>447</v>
      </c>
      <c r="L69">
        <v>1368</v>
      </c>
      <c r="N69">
        <v>1011</v>
      </c>
      <c r="O69" t="s">
        <v>211</v>
      </c>
      <c r="P69" t="s">
        <v>211</v>
      </c>
      <c r="Q69">
        <v>1</v>
      </c>
      <c r="W69">
        <v>0</v>
      </c>
      <c r="X69">
        <v>-1762689579</v>
      </c>
      <c r="Y69">
        <v>0.3</v>
      </c>
      <c r="AA69">
        <v>0</v>
      </c>
      <c r="AB69">
        <v>1021.46</v>
      </c>
      <c r="AC69">
        <v>410.09</v>
      </c>
      <c r="AD69">
        <v>0</v>
      </c>
      <c r="AE69">
        <v>0</v>
      </c>
      <c r="AF69">
        <v>106.74</v>
      </c>
      <c r="AG69">
        <v>19.2</v>
      </c>
      <c r="AH69">
        <v>0</v>
      </c>
      <c r="AI69">
        <v>1</v>
      </c>
      <c r="AJ69">
        <v>9.14</v>
      </c>
      <c r="AK69">
        <v>20.4</v>
      </c>
      <c r="AL69">
        <v>1</v>
      </c>
      <c r="AN69">
        <v>0</v>
      </c>
      <c r="AO69">
        <v>1</v>
      </c>
      <c r="AP69">
        <v>0</v>
      </c>
      <c r="AQ69">
        <v>0</v>
      </c>
      <c r="AR69">
        <v>0</v>
      </c>
      <c r="AT69">
        <v>0.3</v>
      </c>
      <c r="AV69">
        <v>0</v>
      </c>
      <c r="AW69">
        <v>2</v>
      </c>
      <c r="AX69">
        <v>34389059</v>
      </c>
      <c r="AY69">
        <v>1</v>
      </c>
      <c r="AZ69">
        <v>0</v>
      </c>
      <c r="BA69">
        <v>67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Y69*Source!I166</f>
        <v>0.11699999999999999</v>
      </c>
      <c r="CY69">
        <f t="shared" si="6"/>
        <v>1021.46</v>
      </c>
      <c r="CZ69">
        <f t="shared" si="7"/>
        <v>106.74</v>
      </c>
      <c r="DA69">
        <f t="shared" si="8"/>
        <v>9.14</v>
      </c>
      <c r="DB69">
        <v>0</v>
      </c>
    </row>
    <row r="70" spans="1:106" ht="12.75">
      <c r="A70">
        <f>ROW(Source!A166)</f>
        <v>166</v>
      </c>
      <c r="B70">
        <v>34388368</v>
      </c>
      <c r="C70">
        <v>34389046</v>
      </c>
      <c r="D70">
        <v>7230976</v>
      </c>
      <c r="E70">
        <v>1</v>
      </c>
      <c r="F70">
        <v>1</v>
      </c>
      <c r="G70">
        <v>7157832</v>
      </c>
      <c r="H70">
        <v>2</v>
      </c>
      <c r="I70" t="s">
        <v>448</v>
      </c>
      <c r="J70" t="s">
        <v>449</v>
      </c>
      <c r="K70" t="s">
        <v>450</v>
      </c>
      <c r="L70">
        <v>1368</v>
      </c>
      <c r="N70">
        <v>1011</v>
      </c>
      <c r="O70" t="s">
        <v>211</v>
      </c>
      <c r="P70" t="s">
        <v>211</v>
      </c>
      <c r="Q70">
        <v>1</v>
      </c>
      <c r="W70">
        <v>0</v>
      </c>
      <c r="X70">
        <v>738676200</v>
      </c>
      <c r="Y70">
        <v>0.3</v>
      </c>
      <c r="AA70">
        <v>0</v>
      </c>
      <c r="AB70">
        <v>1016.39</v>
      </c>
      <c r="AC70">
        <v>611.08</v>
      </c>
      <c r="AD70">
        <v>0</v>
      </c>
      <c r="AE70">
        <v>0</v>
      </c>
      <c r="AF70">
        <v>148.89</v>
      </c>
      <c r="AG70">
        <v>28.61</v>
      </c>
      <c r="AH70">
        <v>0</v>
      </c>
      <c r="AI70">
        <v>1</v>
      </c>
      <c r="AJ70">
        <v>6.52</v>
      </c>
      <c r="AK70">
        <v>20.4</v>
      </c>
      <c r="AL70">
        <v>1</v>
      </c>
      <c r="AN70">
        <v>0</v>
      </c>
      <c r="AO70">
        <v>1</v>
      </c>
      <c r="AP70">
        <v>0</v>
      </c>
      <c r="AQ70">
        <v>0</v>
      </c>
      <c r="AR70">
        <v>0</v>
      </c>
      <c r="AT70">
        <v>0.3</v>
      </c>
      <c r="AV70">
        <v>0</v>
      </c>
      <c r="AW70">
        <v>2</v>
      </c>
      <c r="AX70">
        <v>34389060</v>
      </c>
      <c r="AY70">
        <v>1</v>
      </c>
      <c r="AZ70">
        <v>0</v>
      </c>
      <c r="BA70">
        <v>68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Y70*Source!I166</f>
        <v>0.11699999999999999</v>
      </c>
      <c r="CY70">
        <f t="shared" si="6"/>
        <v>1016.39</v>
      </c>
      <c r="CZ70">
        <f t="shared" si="7"/>
        <v>148.89</v>
      </c>
      <c r="DA70">
        <f t="shared" si="8"/>
        <v>6.52</v>
      </c>
      <c r="DB70">
        <v>0</v>
      </c>
    </row>
    <row r="71" spans="1:106" ht="12.75">
      <c r="A71">
        <f>ROW(Source!A166)</f>
        <v>166</v>
      </c>
      <c r="B71">
        <v>34388368</v>
      </c>
      <c r="C71">
        <v>34389046</v>
      </c>
      <c r="D71">
        <v>7230978</v>
      </c>
      <c r="E71">
        <v>1</v>
      </c>
      <c r="F71">
        <v>1</v>
      </c>
      <c r="G71">
        <v>7157832</v>
      </c>
      <c r="H71">
        <v>2</v>
      </c>
      <c r="I71" t="s">
        <v>451</v>
      </c>
      <c r="J71" t="s">
        <v>452</v>
      </c>
      <c r="K71" t="s">
        <v>453</v>
      </c>
      <c r="L71">
        <v>1368</v>
      </c>
      <c r="N71">
        <v>1011</v>
      </c>
      <c r="O71" t="s">
        <v>211</v>
      </c>
      <c r="P71" t="s">
        <v>211</v>
      </c>
      <c r="Q71">
        <v>1</v>
      </c>
      <c r="W71">
        <v>0</v>
      </c>
      <c r="X71">
        <v>714527484</v>
      </c>
      <c r="Y71">
        <v>0.3</v>
      </c>
      <c r="AA71">
        <v>0</v>
      </c>
      <c r="AB71">
        <v>2785.99</v>
      </c>
      <c r="AC71">
        <v>915.22</v>
      </c>
      <c r="AD71">
        <v>0</v>
      </c>
      <c r="AE71">
        <v>0</v>
      </c>
      <c r="AF71">
        <v>249.15</v>
      </c>
      <c r="AG71">
        <v>42.85</v>
      </c>
      <c r="AH71">
        <v>0</v>
      </c>
      <c r="AI71">
        <v>1</v>
      </c>
      <c r="AJ71">
        <v>10.68</v>
      </c>
      <c r="AK71">
        <v>20.4</v>
      </c>
      <c r="AL71">
        <v>1</v>
      </c>
      <c r="AN71">
        <v>0</v>
      </c>
      <c r="AO71">
        <v>1</v>
      </c>
      <c r="AP71">
        <v>0</v>
      </c>
      <c r="AQ71">
        <v>0</v>
      </c>
      <c r="AR71">
        <v>0</v>
      </c>
      <c r="AT71">
        <v>0.3</v>
      </c>
      <c r="AV71">
        <v>0</v>
      </c>
      <c r="AW71">
        <v>2</v>
      </c>
      <c r="AX71">
        <v>34389061</v>
      </c>
      <c r="AY71">
        <v>1</v>
      </c>
      <c r="AZ71">
        <v>0</v>
      </c>
      <c r="BA71">
        <v>69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Y71*Source!I166</f>
        <v>0.11699999999999999</v>
      </c>
      <c r="CY71">
        <f t="shared" si="6"/>
        <v>2785.99</v>
      </c>
      <c r="CZ71">
        <f t="shared" si="7"/>
        <v>249.15</v>
      </c>
      <c r="DA71">
        <f t="shared" si="8"/>
        <v>10.68</v>
      </c>
      <c r="DB71">
        <v>0</v>
      </c>
    </row>
    <row r="72" spans="1:106" ht="12.75">
      <c r="A72">
        <f>ROW(Source!A166)</f>
        <v>166</v>
      </c>
      <c r="B72">
        <v>34388368</v>
      </c>
      <c r="C72">
        <v>34389046</v>
      </c>
      <c r="D72">
        <v>7230962</v>
      </c>
      <c r="E72">
        <v>1</v>
      </c>
      <c r="F72">
        <v>1</v>
      </c>
      <c r="G72">
        <v>7157832</v>
      </c>
      <c r="H72">
        <v>2</v>
      </c>
      <c r="I72" t="s">
        <v>436</v>
      </c>
      <c r="J72" t="s">
        <v>437</v>
      </c>
      <c r="K72" t="s">
        <v>438</v>
      </c>
      <c r="L72">
        <v>1368</v>
      </c>
      <c r="N72">
        <v>1011</v>
      </c>
      <c r="O72" t="s">
        <v>211</v>
      </c>
      <c r="P72" t="s">
        <v>211</v>
      </c>
      <c r="Q72">
        <v>1</v>
      </c>
      <c r="W72">
        <v>0</v>
      </c>
      <c r="X72">
        <v>633757042</v>
      </c>
      <c r="Y72">
        <v>0.3</v>
      </c>
      <c r="AA72">
        <v>0</v>
      </c>
      <c r="AB72">
        <v>1083.44</v>
      </c>
      <c r="AC72">
        <v>488.05</v>
      </c>
      <c r="AD72">
        <v>0</v>
      </c>
      <c r="AE72">
        <v>0</v>
      </c>
      <c r="AF72">
        <v>84.82</v>
      </c>
      <c r="AG72">
        <v>22.85</v>
      </c>
      <c r="AH72">
        <v>0</v>
      </c>
      <c r="AI72">
        <v>1</v>
      </c>
      <c r="AJ72">
        <v>12.2</v>
      </c>
      <c r="AK72">
        <v>20.4</v>
      </c>
      <c r="AL72">
        <v>1</v>
      </c>
      <c r="AN72">
        <v>0</v>
      </c>
      <c r="AO72">
        <v>1</v>
      </c>
      <c r="AP72">
        <v>0</v>
      </c>
      <c r="AQ72">
        <v>0</v>
      </c>
      <c r="AR72">
        <v>0</v>
      </c>
      <c r="AT72">
        <v>0.3</v>
      </c>
      <c r="AV72">
        <v>0</v>
      </c>
      <c r="AW72">
        <v>2</v>
      </c>
      <c r="AX72">
        <v>34389062</v>
      </c>
      <c r="AY72">
        <v>1</v>
      </c>
      <c r="AZ72">
        <v>0</v>
      </c>
      <c r="BA72">
        <v>70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Y72*Source!I166</f>
        <v>0.11699999999999999</v>
      </c>
      <c r="CY72">
        <f t="shared" si="6"/>
        <v>1083.44</v>
      </c>
      <c r="CZ72">
        <f t="shared" si="7"/>
        <v>84.82</v>
      </c>
      <c r="DA72">
        <f t="shared" si="8"/>
        <v>12.2</v>
      </c>
      <c r="DB72">
        <v>0</v>
      </c>
    </row>
    <row r="73" spans="1:106" ht="12.75">
      <c r="A73">
        <f>ROW(Source!A166)</f>
        <v>166</v>
      </c>
      <c r="B73">
        <v>34388368</v>
      </c>
      <c r="C73">
        <v>34389046</v>
      </c>
      <c r="D73">
        <v>7230993</v>
      </c>
      <c r="E73">
        <v>1</v>
      </c>
      <c r="F73">
        <v>1</v>
      </c>
      <c r="G73">
        <v>7157832</v>
      </c>
      <c r="H73">
        <v>2</v>
      </c>
      <c r="I73" t="s">
        <v>454</v>
      </c>
      <c r="J73" t="s">
        <v>455</v>
      </c>
      <c r="K73" t="s">
        <v>456</v>
      </c>
      <c r="L73">
        <v>1368</v>
      </c>
      <c r="N73">
        <v>1011</v>
      </c>
      <c r="O73" t="s">
        <v>211</v>
      </c>
      <c r="P73" t="s">
        <v>211</v>
      </c>
      <c r="Q73">
        <v>1</v>
      </c>
      <c r="W73">
        <v>0</v>
      </c>
      <c r="X73">
        <v>-1025674698</v>
      </c>
      <c r="Y73">
        <v>0.3</v>
      </c>
      <c r="AA73">
        <v>0</v>
      </c>
      <c r="AB73">
        <v>1050.17</v>
      </c>
      <c r="AC73">
        <v>606.59</v>
      </c>
      <c r="AD73">
        <v>0</v>
      </c>
      <c r="AE73">
        <v>0</v>
      </c>
      <c r="AF73">
        <v>124.6</v>
      </c>
      <c r="AG73">
        <v>28.4</v>
      </c>
      <c r="AH73">
        <v>0</v>
      </c>
      <c r="AI73">
        <v>1</v>
      </c>
      <c r="AJ73">
        <v>8.05</v>
      </c>
      <c r="AK73">
        <v>20.4</v>
      </c>
      <c r="AL73">
        <v>1</v>
      </c>
      <c r="AN73">
        <v>0</v>
      </c>
      <c r="AO73">
        <v>1</v>
      </c>
      <c r="AP73">
        <v>0</v>
      </c>
      <c r="AQ73">
        <v>0</v>
      </c>
      <c r="AR73">
        <v>0</v>
      </c>
      <c r="AT73">
        <v>0.3</v>
      </c>
      <c r="AV73">
        <v>0</v>
      </c>
      <c r="AW73">
        <v>2</v>
      </c>
      <c r="AX73">
        <v>34389063</v>
      </c>
      <c r="AY73">
        <v>1</v>
      </c>
      <c r="AZ73">
        <v>0</v>
      </c>
      <c r="BA73">
        <v>71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X73">
        <f>Y73*Source!I166</f>
        <v>0.11699999999999999</v>
      </c>
      <c r="CY73">
        <f t="shared" si="6"/>
        <v>1050.17</v>
      </c>
      <c r="CZ73">
        <f t="shared" si="7"/>
        <v>124.6</v>
      </c>
      <c r="DA73">
        <f t="shared" si="8"/>
        <v>8.05</v>
      </c>
      <c r="DB73">
        <v>0</v>
      </c>
    </row>
    <row r="74" spans="1:106" ht="12.75">
      <c r="A74">
        <f>ROW(Source!A166)</f>
        <v>166</v>
      </c>
      <c r="B74">
        <v>34388368</v>
      </c>
      <c r="C74">
        <v>34389046</v>
      </c>
      <c r="D74">
        <v>7230966</v>
      </c>
      <c r="E74">
        <v>1</v>
      </c>
      <c r="F74">
        <v>1</v>
      </c>
      <c r="G74">
        <v>7157832</v>
      </c>
      <c r="H74">
        <v>2</v>
      </c>
      <c r="I74" t="s">
        <v>457</v>
      </c>
      <c r="J74" t="s">
        <v>458</v>
      </c>
      <c r="K74" t="s">
        <v>459</v>
      </c>
      <c r="L74">
        <v>1368</v>
      </c>
      <c r="N74">
        <v>1011</v>
      </c>
      <c r="O74" t="s">
        <v>211</v>
      </c>
      <c r="P74" t="s">
        <v>211</v>
      </c>
      <c r="Q74">
        <v>1</v>
      </c>
      <c r="W74">
        <v>0</v>
      </c>
      <c r="X74">
        <v>-848822828</v>
      </c>
      <c r="Y74">
        <v>0.3</v>
      </c>
      <c r="AA74">
        <v>0</v>
      </c>
      <c r="AB74">
        <v>1152.31</v>
      </c>
      <c r="AC74">
        <v>495.1</v>
      </c>
      <c r="AD74">
        <v>0</v>
      </c>
      <c r="AE74">
        <v>0</v>
      </c>
      <c r="AF74">
        <v>88.4</v>
      </c>
      <c r="AG74">
        <v>23.18</v>
      </c>
      <c r="AH74">
        <v>0</v>
      </c>
      <c r="AI74">
        <v>1</v>
      </c>
      <c r="AJ74">
        <v>12.45</v>
      </c>
      <c r="AK74">
        <v>20.4</v>
      </c>
      <c r="AL74">
        <v>1</v>
      </c>
      <c r="AN74">
        <v>0</v>
      </c>
      <c r="AO74">
        <v>1</v>
      </c>
      <c r="AP74">
        <v>0</v>
      </c>
      <c r="AQ74">
        <v>0</v>
      </c>
      <c r="AR74">
        <v>0</v>
      </c>
      <c r="AT74">
        <v>0.3</v>
      </c>
      <c r="AV74">
        <v>0</v>
      </c>
      <c r="AW74">
        <v>2</v>
      </c>
      <c r="AX74">
        <v>34389064</v>
      </c>
      <c r="AY74">
        <v>1</v>
      </c>
      <c r="AZ74">
        <v>0</v>
      </c>
      <c r="BA74">
        <v>72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X74">
        <f>Y74*Source!I166</f>
        <v>0.11699999999999999</v>
      </c>
      <c r="CY74">
        <f t="shared" si="6"/>
        <v>1152.31</v>
      </c>
      <c r="CZ74">
        <f t="shared" si="7"/>
        <v>88.4</v>
      </c>
      <c r="DA74">
        <f t="shared" si="8"/>
        <v>12.45</v>
      </c>
      <c r="DB74">
        <v>0</v>
      </c>
    </row>
    <row r="75" spans="1:106" ht="12.75">
      <c r="A75">
        <f>ROW(Source!A166)</f>
        <v>166</v>
      </c>
      <c r="B75">
        <v>34388368</v>
      </c>
      <c r="C75">
        <v>34389046</v>
      </c>
      <c r="D75">
        <v>7230967</v>
      </c>
      <c r="E75">
        <v>1</v>
      </c>
      <c r="F75">
        <v>1</v>
      </c>
      <c r="G75">
        <v>7157832</v>
      </c>
      <c r="H75">
        <v>2</v>
      </c>
      <c r="I75" t="s">
        <v>427</v>
      </c>
      <c r="J75" t="s">
        <v>428</v>
      </c>
      <c r="K75" t="s">
        <v>429</v>
      </c>
      <c r="L75">
        <v>1368</v>
      </c>
      <c r="N75">
        <v>1011</v>
      </c>
      <c r="O75" t="s">
        <v>211</v>
      </c>
      <c r="P75" t="s">
        <v>211</v>
      </c>
      <c r="Q75">
        <v>1</v>
      </c>
      <c r="W75">
        <v>0</v>
      </c>
      <c r="X75">
        <v>-729676069</v>
      </c>
      <c r="Y75">
        <v>0.9</v>
      </c>
      <c r="AA75">
        <v>0</v>
      </c>
      <c r="AB75">
        <v>1731.53</v>
      </c>
      <c r="AC75">
        <v>501.93</v>
      </c>
      <c r="AD75">
        <v>0</v>
      </c>
      <c r="AE75">
        <v>0</v>
      </c>
      <c r="AF75">
        <v>178.02</v>
      </c>
      <c r="AG75">
        <v>23.5</v>
      </c>
      <c r="AH75">
        <v>0</v>
      </c>
      <c r="AI75">
        <v>1</v>
      </c>
      <c r="AJ75">
        <v>9.29</v>
      </c>
      <c r="AK75">
        <v>20.4</v>
      </c>
      <c r="AL75">
        <v>1</v>
      </c>
      <c r="AN75">
        <v>0</v>
      </c>
      <c r="AO75">
        <v>1</v>
      </c>
      <c r="AP75">
        <v>0</v>
      </c>
      <c r="AQ75">
        <v>0</v>
      </c>
      <c r="AR75">
        <v>0</v>
      </c>
      <c r="AT75">
        <v>0.9</v>
      </c>
      <c r="AV75">
        <v>0</v>
      </c>
      <c r="AW75">
        <v>2</v>
      </c>
      <c r="AX75">
        <v>34389065</v>
      </c>
      <c r="AY75">
        <v>1</v>
      </c>
      <c r="AZ75">
        <v>0</v>
      </c>
      <c r="BA75">
        <v>73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X75">
        <f>Y75*Source!I166</f>
        <v>0.35100000000000003</v>
      </c>
      <c r="CY75">
        <f t="shared" si="6"/>
        <v>1731.53</v>
      </c>
      <c r="CZ75">
        <f t="shared" si="7"/>
        <v>178.02</v>
      </c>
      <c r="DA75">
        <f t="shared" si="8"/>
        <v>9.29</v>
      </c>
      <c r="DB75">
        <v>0</v>
      </c>
    </row>
    <row r="76" spans="1:106" ht="12.75">
      <c r="A76">
        <f>ROW(Source!A166)</f>
        <v>166</v>
      </c>
      <c r="B76">
        <v>34388368</v>
      </c>
      <c r="C76">
        <v>34389046</v>
      </c>
      <c r="D76">
        <v>7235091</v>
      </c>
      <c r="E76">
        <v>1</v>
      </c>
      <c r="F76">
        <v>1</v>
      </c>
      <c r="G76">
        <v>7157832</v>
      </c>
      <c r="H76">
        <v>3</v>
      </c>
      <c r="I76" t="s">
        <v>460</v>
      </c>
      <c r="J76" t="s">
        <v>461</v>
      </c>
      <c r="K76" t="s">
        <v>462</v>
      </c>
      <c r="L76">
        <v>1348</v>
      </c>
      <c r="N76">
        <v>1009</v>
      </c>
      <c r="O76" t="s">
        <v>265</v>
      </c>
      <c r="P76" t="s">
        <v>265</v>
      </c>
      <c r="Q76">
        <v>1000</v>
      </c>
      <c r="W76">
        <v>0</v>
      </c>
      <c r="X76">
        <v>-1274242938</v>
      </c>
      <c r="Y76">
        <v>0.04</v>
      </c>
      <c r="AA76">
        <v>12955</v>
      </c>
      <c r="AB76">
        <v>0</v>
      </c>
      <c r="AC76">
        <v>0</v>
      </c>
      <c r="AD76">
        <v>0</v>
      </c>
      <c r="AE76">
        <v>1445.87</v>
      </c>
      <c r="AF76">
        <v>0</v>
      </c>
      <c r="AG76">
        <v>0</v>
      </c>
      <c r="AH76">
        <v>0</v>
      </c>
      <c r="AI76">
        <v>8.96</v>
      </c>
      <c r="AJ76">
        <v>1</v>
      </c>
      <c r="AK76">
        <v>1</v>
      </c>
      <c r="AL76">
        <v>1</v>
      </c>
      <c r="AN76">
        <v>0</v>
      </c>
      <c r="AO76">
        <v>1</v>
      </c>
      <c r="AP76">
        <v>0</v>
      </c>
      <c r="AQ76">
        <v>0</v>
      </c>
      <c r="AR76">
        <v>0</v>
      </c>
      <c r="AT76">
        <v>0.04</v>
      </c>
      <c r="AV76">
        <v>0</v>
      </c>
      <c r="AW76">
        <v>2</v>
      </c>
      <c r="AX76">
        <v>34389066</v>
      </c>
      <c r="AY76">
        <v>1</v>
      </c>
      <c r="AZ76">
        <v>0</v>
      </c>
      <c r="BA76">
        <v>74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X76">
        <f>Y76*Source!I166</f>
        <v>0.015600000000000001</v>
      </c>
      <c r="CY76">
        <f>AA76</f>
        <v>12955</v>
      </c>
      <c r="CZ76">
        <f>AE76</f>
        <v>1445.87</v>
      </c>
      <c r="DA76">
        <f>AI76</f>
        <v>8.96</v>
      </c>
      <c r="DB76">
        <v>0</v>
      </c>
    </row>
    <row r="77" spans="1:106" ht="12.75">
      <c r="A77">
        <f>ROW(Source!A199)</f>
        <v>199</v>
      </c>
      <c r="B77">
        <v>34388368</v>
      </c>
      <c r="C77">
        <v>34389069</v>
      </c>
      <c r="D77">
        <v>7157835</v>
      </c>
      <c r="E77">
        <v>7157832</v>
      </c>
      <c r="F77">
        <v>1</v>
      </c>
      <c r="G77">
        <v>7157832</v>
      </c>
      <c r="H77">
        <v>1</v>
      </c>
      <c r="I77" t="s">
        <v>399</v>
      </c>
      <c r="K77" t="s">
        <v>400</v>
      </c>
      <c r="L77">
        <v>1191</v>
      </c>
      <c r="N77">
        <v>1013</v>
      </c>
      <c r="O77" t="s">
        <v>401</v>
      </c>
      <c r="P77" t="s">
        <v>401</v>
      </c>
      <c r="Q77">
        <v>1</v>
      </c>
      <c r="W77">
        <v>0</v>
      </c>
      <c r="X77">
        <v>946207192</v>
      </c>
      <c r="Y77">
        <v>14.4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1</v>
      </c>
      <c r="AJ77">
        <v>1</v>
      </c>
      <c r="AK77">
        <v>1</v>
      </c>
      <c r="AL77">
        <v>1</v>
      </c>
      <c r="AN77">
        <v>0</v>
      </c>
      <c r="AO77">
        <v>1</v>
      </c>
      <c r="AP77">
        <v>0</v>
      </c>
      <c r="AQ77">
        <v>0</v>
      </c>
      <c r="AR77">
        <v>0</v>
      </c>
      <c r="AT77">
        <v>14.4</v>
      </c>
      <c r="AV77">
        <v>1</v>
      </c>
      <c r="AW77">
        <v>2</v>
      </c>
      <c r="AX77">
        <v>34389078</v>
      </c>
      <c r="AY77">
        <v>1</v>
      </c>
      <c r="AZ77">
        <v>0</v>
      </c>
      <c r="BA77">
        <v>76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X77">
        <f>Y77*Source!I199</f>
        <v>2.2809600000000003</v>
      </c>
      <c r="CY77">
        <f>AD77</f>
        <v>0</v>
      </c>
      <c r="CZ77">
        <f>AH77</f>
        <v>0</v>
      </c>
      <c r="DA77">
        <f>AL77</f>
        <v>1</v>
      </c>
      <c r="DB77">
        <v>0</v>
      </c>
    </row>
    <row r="78" spans="1:106" ht="12.75">
      <c r="A78">
        <f>ROW(Source!A199)</f>
        <v>199</v>
      </c>
      <c r="B78">
        <v>34388368</v>
      </c>
      <c r="C78">
        <v>34389069</v>
      </c>
      <c r="D78">
        <v>7230769</v>
      </c>
      <c r="E78">
        <v>1</v>
      </c>
      <c r="F78">
        <v>1</v>
      </c>
      <c r="G78">
        <v>7157832</v>
      </c>
      <c r="H78">
        <v>2</v>
      </c>
      <c r="I78" t="s">
        <v>415</v>
      </c>
      <c r="J78" t="s">
        <v>416</v>
      </c>
      <c r="K78" t="s">
        <v>417</v>
      </c>
      <c r="L78">
        <v>1368</v>
      </c>
      <c r="N78">
        <v>1011</v>
      </c>
      <c r="O78" t="s">
        <v>211</v>
      </c>
      <c r="P78" t="s">
        <v>211</v>
      </c>
      <c r="Q78">
        <v>1</v>
      </c>
      <c r="W78">
        <v>0</v>
      </c>
      <c r="X78">
        <v>810095969</v>
      </c>
      <c r="Y78">
        <v>1.66</v>
      </c>
      <c r="AA78">
        <v>0</v>
      </c>
      <c r="AB78">
        <v>1058.62</v>
      </c>
      <c r="AC78">
        <v>500.01</v>
      </c>
      <c r="AD78">
        <v>0</v>
      </c>
      <c r="AE78">
        <v>0</v>
      </c>
      <c r="AF78">
        <v>116.89</v>
      </c>
      <c r="AG78">
        <v>23.41</v>
      </c>
      <c r="AH78">
        <v>0</v>
      </c>
      <c r="AI78">
        <v>1</v>
      </c>
      <c r="AJ78">
        <v>8.65</v>
      </c>
      <c r="AK78">
        <v>20.4</v>
      </c>
      <c r="AL78">
        <v>1</v>
      </c>
      <c r="AN78">
        <v>0</v>
      </c>
      <c r="AO78">
        <v>1</v>
      </c>
      <c r="AP78">
        <v>0</v>
      </c>
      <c r="AQ78">
        <v>0</v>
      </c>
      <c r="AR78">
        <v>0</v>
      </c>
      <c r="AT78">
        <v>1.66</v>
      </c>
      <c r="AV78">
        <v>0</v>
      </c>
      <c r="AW78">
        <v>2</v>
      </c>
      <c r="AX78">
        <v>34389079</v>
      </c>
      <c r="AY78">
        <v>1</v>
      </c>
      <c r="AZ78">
        <v>0</v>
      </c>
      <c r="BA78">
        <v>77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X78">
        <f>Y78*Source!I199</f>
        <v>0.262944</v>
      </c>
      <c r="CY78">
        <f>AB78</f>
        <v>1058.62</v>
      </c>
      <c r="CZ78">
        <f>AF78</f>
        <v>116.89</v>
      </c>
      <c r="DA78">
        <f>AJ78</f>
        <v>8.65</v>
      </c>
      <c r="DB78">
        <v>0</v>
      </c>
    </row>
    <row r="79" spans="1:106" ht="12.75">
      <c r="A79">
        <f>ROW(Source!A199)</f>
        <v>199</v>
      </c>
      <c r="B79">
        <v>34388368</v>
      </c>
      <c r="C79">
        <v>34389069</v>
      </c>
      <c r="D79">
        <v>7230974</v>
      </c>
      <c r="E79">
        <v>1</v>
      </c>
      <c r="F79">
        <v>1</v>
      </c>
      <c r="G79">
        <v>7157832</v>
      </c>
      <c r="H79">
        <v>2</v>
      </c>
      <c r="I79" t="s">
        <v>418</v>
      </c>
      <c r="J79" t="s">
        <v>419</v>
      </c>
      <c r="K79" t="s">
        <v>420</v>
      </c>
      <c r="L79">
        <v>1368</v>
      </c>
      <c r="N79">
        <v>1011</v>
      </c>
      <c r="O79" t="s">
        <v>211</v>
      </c>
      <c r="P79" t="s">
        <v>211</v>
      </c>
      <c r="Q79">
        <v>1</v>
      </c>
      <c r="W79">
        <v>0</v>
      </c>
      <c r="X79">
        <v>-12113192</v>
      </c>
      <c r="Y79">
        <v>1.66</v>
      </c>
      <c r="AA79">
        <v>0</v>
      </c>
      <c r="AB79">
        <v>356.68</v>
      </c>
      <c r="AC79">
        <v>141.82</v>
      </c>
      <c r="AD79">
        <v>0</v>
      </c>
      <c r="AE79">
        <v>0</v>
      </c>
      <c r="AF79">
        <v>62.97</v>
      </c>
      <c r="AG79">
        <v>6.64</v>
      </c>
      <c r="AH79">
        <v>0</v>
      </c>
      <c r="AI79">
        <v>1</v>
      </c>
      <c r="AJ79">
        <v>5.41</v>
      </c>
      <c r="AK79">
        <v>20.4</v>
      </c>
      <c r="AL79">
        <v>1</v>
      </c>
      <c r="AN79">
        <v>0</v>
      </c>
      <c r="AO79">
        <v>1</v>
      </c>
      <c r="AP79">
        <v>0</v>
      </c>
      <c r="AQ79">
        <v>0</v>
      </c>
      <c r="AR79">
        <v>0</v>
      </c>
      <c r="AT79">
        <v>1.66</v>
      </c>
      <c r="AV79">
        <v>0</v>
      </c>
      <c r="AW79">
        <v>2</v>
      </c>
      <c r="AX79">
        <v>34389080</v>
      </c>
      <c r="AY79">
        <v>1</v>
      </c>
      <c r="AZ79">
        <v>0</v>
      </c>
      <c r="BA79">
        <v>78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X79">
        <f>Y79*Source!I199</f>
        <v>0.262944</v>
      </c>
      <c r="CY79">
        <f>AB79</f>
        <v>356.68</v>
      </c>
      <c r="CZ79">
        <f>AF79</f>
        <v>62.97</v>
      </c>
      <c r="DA79">
        <f>AJ79</f>
        <v>5.41</v>
      </c>
      <c r="DB79">
        <v>0</v>
      </c>
    </row>
    <row r="80" spans="1:106" ht="12.75">
      <c r="A80">
        <f>ROW(Source!A199)</f>
        <v>199</v>
      </c>
      <c r="B80">
        <v>34388368</v>
      </c>
      <c r="C80">
        <v>34389069</v>
      </c>
      <c r="D80">
        <v>7230977</v>
      </c>
      <c r="E80">
        <v>1</v>
      </c>
      <c r="F80">
        <v>1</v>
      </c>
      <c r="G80">
        <v>7157832</v>
      </c>
      <c r="H80">
        <v>2</v>
      </c>
      <c r="I80" t="s">
        <v>421</v>
      </c>
      <c r="J80" t="s">
        <v>422</v>
      </c>
      <c r="K80" t="s">
        <v>423</v>
      </c>
      <c r="L80">
        <v>1368</v>
      </c>
      <c r="N80">
        <v>1011</v>
      </c>
      <c r="O80" t="s">
        <v>211</v>
      </c>
      <c r="P80" t="s">
        <v>211</v>
      </c>
      <c r="Q80">
        <v>1</v>
      </c>
      <c r="W80">
        <v>0</v>
      </c>
      <c r="X80">
        <v>-1774859560</v>
      </c>
      <c r="Y80">
        <v>0.65</v>
      </c>
      <c r="AA80">
        <v>0</v>
      </c>
      <c r="AB80">
        <v>1689.71</v>
      </c>
      <c r="AC80">
        <v>611.08</v>
      </c>
      <c r="AD80">
        <v>0</v>
      </c>
      <c r="AE80">
        <v>0</v>
      </c>
      <c r="AF80">
        <v>140.58</v>
      </c>
      <c r="AG80">
        <v>28.61</v>
      </c>
      <c r="AH80">
        <v>0</v>
      </c>
      <c r="AI80">
        <v>1</v>
      </c>
      <c r="AJ80">
        <v>11.48</v>
      </c>
      <c r="AK80">
        <v>20.4</v>
      </c>
      <c r="AL80">
        <v>1</v>
      </c>
      <c r="AN80">
        <v>0</v>
      </c>
      <c r="AO80">
        <v>1</v>
      </c>
      <c r="AP80">
        <v>0</v>
      </c>
      <c r="AQ80">
        <v>0</v>
      </c>
      <c r="AR80">
        <v>0</v>
      </c>
      <c r="AT80">
        <v>0.65</v>
      </c>
      <c r="AV80">
        <v>0</v>
      </c>
      <c r="AW80">
        <v>2</v>
      </c>
      <c r="AX80">
        <v>34389081</v>
      </c>
      <c r="AY80">
        <v>1</v>
      </c>
      <c r="AZ80">
        <v>0</v>
      </c>
      <c r="BA80">
        <v>79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X80">
        <f>Y80*Source!I199</f>
        <v>0.10296000000000001</v>
      </c>
      <c r="CY80">
        <f>AB80</f>
        <v>1689.71</v>
      </c>
      <c r="CZ80">
        <f>AF80</f>
        <v>140.58</v>
      </c>
      <c r="DA80">
        <f>AJ80</f>
        <v>11.48</v>
      </c>
      <c r="DB80">
        <v>0</v>
      </c>
    </row>
    <row r="81" spans="1:106" ht="12.75">
      <c r="A81">
        <f>ROW(Source!A199)</f>
        <v>199</v>
      </c>
      <c r="B81">
        <v>34388368</v>
      </c>
      <c r="C81">
        <v>34389069</v>
      </c>
      <c r="D81">
        <v>7231005</v>
      </c>
      <c r="E81">
        <v>1</v>
      </c>
      <c r="F81">
        <v>1</v>
      </c>
      <c r="G81">
        <v>7157832</v>
      </c>
      <c r="H81">
        <v>2</v>
      </c>
      <c r="I81" t="s">
        <v>424</v>
      </c>
      <c r="J81" t="s">
        <v>425</v>
      </c>
      <c r="K81" t="s">
        <v>426</v>
      </c>
      <c r="L81">
        <v>1368</v>
      </c>
      <c r="N81">
        <v>1011</v>
      </c>
      <c r="O81" t="s">
        <v>211</v>
      </c>
      <c r="P81" t="s">
        <v>211</v>
      </c>
      <c r="Q81">
        <v>1</v>
      </c>
      <c r="W81">
        <v>0</v>
      </c>
      <c r="X81">
        <v>36406169</v>
      </c>
      <c r="Y81">
        <v>1.55</v>
      </c>
      <c r="AA81">
        <v>0</v>
      </c>
      <c r="AB81">
        <v>1299.63</v>
      </c>
      <c r="AC81">
        <v>528.42</v>
      </c>
      <c r="AD81">
        <v>0</v>
      </c>
      <c r="AE81">
        <v>0</v>
      </c>
      <c r="AF81">
        <v>125.13</v>
      </c>
      <c r="AG81">
        <v>24.74</v>
      </c>
      <c r="AH81">
        <v>0</v>
      </c>
      <c r="AI81">
        <v>1</v>
      </c>
      <c r="AJ81">
        <v>9.92</v>
      </c>
      <c r="AK81">
        <v>20.4</v>
      </c>
      <c r="AL81">
        <v>1</v>
      </c>
      <c r="AN81">
        <v>0</v>
      </c>
      <c r="AO81">
        <v>1</v>
      </c>
      <c r="AP81">
        <v>0</v>
      </c>
      <c r="AQ81">
        <v>0</v>
      </c>
      <c r="AR81">
        <v>0</v>
      </c>
      <c r="AT81">
        <v>1.55</v>
      </c>
      <c r="AV81">
        <v>0</v>
      </c>
      <c r="AW81">
        <v>2</v>
      </c>
      <c r="AX81">
        <v>34389082</v>
      </c>
      <c r="AY81">
        <v>1</v>
      </c>
      <c r="AZ81">
        <v>0</v>
      </c>
      <c r="BA81">
        <v>80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CX81">
        <f>Y81*Source!I199</f>
        <v>0.24552000000000002</v>
      </c>
      <c r="CY81">
        <f>AB81</f>
        <v>1299.63</v>
      </c>
      <c r="CZ81">
        <f>AF81</f>
        <v>125.13</v>
      </c>
      <c r="DA81">
        <f>AJ81</f>
        <v>9.92</v>
      </c>
      <c r="DB81">
        <v>0</v>
      </c>
    </row>
    <row r="82" spans="1:106" ht="12.75">
      <c r="A82">
        <f>ROW(Source!A199)</f>
        <v>199</v>
      </c>
      <c r="B82">
        <v>34388368</v>
      </c>
      <c r="C82">
        <v>34389069</v>
      </c>
      <c r="D82">
        <v>7230967</v>
      </c>
      <c r="E82">
        <v>1</v>
      </c>
      <c r="F82">
        <v>1</v>
      </c>
      <c r="G82">
        <v>7157832</v>
      </c>
      <c r="H82">
        <v>2</v>
      </c>
      <c r="I82" t="s">
        <v>427</v>
      </c>
      <c r="J82" t="s">
        <v>428</v>
      </c>
      <c r="K82" t="s">
        <v>429</v>
      </c>
      <c r="L82">
        <v>1368</v>
      </c>
      <c r="N82">
        <v>1011</v>
      </c>
      <c r="O82" t="s">
        <v>211</v>
      </c>
      <c r="P82" t="s">
        <v>211</v>
      </c>
      <c r="Q82">
        <v>1</v>
      </c>
      <c r="W82">
        <v>0</v>
      </c>
      <c r="X82">
        <v>-729676069</v>
      </c>
      <c r="Y82">
        <v>0.52</v>
      </c>
      <c r="AA82">
        <v>0</v>
      </c>
      <c r="AB82">
        <v>1731.53</v>
      </c>
      <c r="AC82">
        <v>501.93</v>
      </c>
      <c r="AD82">
        <v>0</v>
      </c>
      <c r="AE82">
        <v>0</v>
      </c>
      <c r="AF82">
        <v>178.02</v>
      </c>
      <c r="AG82">
        <v>23.5</v>
      </c>
      <c r="AH82">
        <v>0</v>
      </c>
      <c r="AI82">
        <v>1</v>
      </c>
      <c r="AJ82">
        <v>9.29</v>
      </c>
      <c r="AK82">
        <v>20.4</v>
      </c>
      <c r="AL82">
        <v>1</v>
      </c>
      <c r="AN82">
        <v>0</v>
      </c>
      <c r="AO82">
        <v>1</v>
      </c>
      <c r="AP82">
        <v>0</v>
      </c>
      <c r="AQ82">
        <v>0</v>
      </c>
      <c r="AR82">
        <v>0</v>
      </c>
      <c r="AT82">
        <v>0.52</v>
      </c>
      <c r="AV82">
        <v>0</v>
      </c>
      <c r="AW82">
        <v>2</v>
      </c>
      <c r="AX82">
        <v>34389083</v>
      </c>
      <c r="AY82">
        <v>1</v>
      </c>
      <c r="AZ82">
        <v>0</v>
      </c>
      <c r="BA82">
        <v>81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CX82">
        <f>Y82*Source!I199</f>
        <v>0.08236800000000001</v>
      </c>
      <c r="CY82">
        <f>AB82</f>
        <v>1731.53</v>
      </c>
      <c r="CZ82">
        <f>AF82</f>
        <v>178.02</v>
      </c>
      <c r="DA82">
        <f>AJ82</f>
        <v>9.29</v>
      </c>
      <c r="DB82">
        <v>0</v>
      </c>
    </row>
    <row r="83" spans="1:106" ht="12.75">
      <c r="A83">
        <f>ROW(Source!A199)</f>
        <v>199</v>
      </c>
      <c r="B83">
        <v>34388368</v>
      </c>
      <c r="C83">
        <v>34389069</v>
      </c>
      <c r="D83">
        <v>7231827</v>
      </c>
      <c r="E83">
        <v>1</v>
      </c>
      <c r="F83">
        <v>1</v>
      </c>
      <c r="G83">
        <v>7157832</v>
      </c>
      <c r="H83">
        <v>3</v>
      </c>
      <c r="I83" t="s">
        <v>430</v>
      </c>
      <c r="J83" t="s">
        <v>431</v>
      </c>
      <c r="K83" t="s">
        <v>432</v>
      </c>
      <c r="L83">
        <v>1339</v>
      </c>
      <c r="N83">
        <v>1007</v>
      </c>
      <c r="O83" t="s">
        <v>42</v>
      </c>
      <c r="P83" t="s">
        <v>42</v>
      </c>
      <c r="Q83">
        <v>1</v>
      </c>
      <c r="W83">
        <v>0</v>
      </c>
      <c r="X83">
        <v>55300385</v>
      </c>
      <c r="Y83">
        <v>5</v>
      </c>
      <c r="AA83">
        <v>30.04</v>
      </c>
      <c r="AB83">
        <v>0</v>
      </c>
      <c r="AC83">
        <v>0</v>
      </c>
      <c r="AD83">
        <v>0</v>
      </c>
      <c r="AE83">
        <v>7.07</v>
      </c>
      <c r="AF83">
        <v>0</v>
      </c>
      <c r="AG83">
        <v>0</v>
      </c>
      <c r="AH83">
        <v>0</v>
      </c>
      <c r="AI83">
        <v>4.24</v>
      </c>
      <c r="AJ83">
        <v>1</v>
      </c>
      <c r="AK83">
        <v>1</v>
      </c>
      <c r="AL83">
        <v>1</v>
      </c>
      <c r="AN83">
        <v>0</v>
      </c>
      <c r="AO83">
        <v>1</v>
      </c>
      <c r="AP83">
        <v>0</v>
      </c>
      <c r="AQ83">
        <v>0</v>
      </c>
      <c r="AR83">
        <v>0</v>
      </c>
      <c r="AT83">
        <v>5</v>
      </c>
      <c r="AV83">
        <v>0</v>
      </c>
      <c r="AW83">
        <v>2</v>
      </c>
      <c r="AX83">
        <v>34389084</v>
      </c>
      <c r="AY83">
        <v>1</v>
      </c>
      <c r="AZ83">
        <v>0</v>
      </c>
      <c r="BA83">
        <v>82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CX83">
        <f>Y83*Source!I199</f>
        <v>0.792</v>
      </c>
      <c r="CY83">
        <f>AA83</f>
        <v>30.04</v>
      </c>
      <c r="CZ83">
        <f>AE83</f>
        <v>7.07</v>
      </c>
      <c r="DA83">
        <f>AI83</f>
        <v>4.24</v>
      </c>
      <c r="DB83">
        <v>0</v>
      </c>
    </row>
    <row r="84" spans="1:106" ht="12.75">
      <c r="A84">
        <f>ROW(Source!A199)</f>
        <v>199</v>
      </c>
      <c r="B84">
        <v>34388368</v>
      </c>
      <c r="C84">
        <v>34389069</v>
      </c>
      <c r="D84">
        <v>7232456</v>
      </c>
      <c r="E84">
        <v>1</v>
      </c>
      <c r="F84">
        <v>1</v>
      </c>
      <c r="G84">
        <v>7157832</v>
      </c>
      <c r="H84">
        <v>3</v>
      </c>
      <c r="I84" t="s">
        <v>40</v>
      </c>
      <c r="J84" t="s">
        <v>43</v>
      </c>
      <c r="K84" t="s">
        <v>41</v>
      </c>
      <c r="L84">
        <v>1339</v>
      </c>
      <c r="N84">
        <v>1007</v>
      </c>
      <c r="O84" t="s">
        <v>42</v>
      </c>
      <c r="P84" t="s">
        <v>42</v>
      </c>
      <c r="Q84">
        <v>1</v>
      </c>
      <c r="W84">
        <v>0</v>
      </c>
      <c r="X84">
        <v>-419971176</v>
      </c>
      <c r="Y84">
        <v>100</v>
      </c>
      <c r="AA84">
        <v>573.34</v>
      </c>
      <c r="AB84">
        <v>0</v>
      </c>
      <c r="AC84">
        <v>0</v>
      </c>
      <c r="AD84">
        <v>0</v>
      </c>
      <c r="AE84">
        <v>104.99</v>
      </c>
      <c r="AF84">
        <v>0</v>
      </c>
      <c r="AG84">
        <v>0</v>
      </c>
      <c r="AH84">
        <v>0</v>
      </c>
      <c r="AI84">
        <v>5.45</v>
      </c>
      <c r="AJ84">
        <v>1</v>
      </c>
      <c r="AK84">
        <v>1</v>
      </c>
      <c r="AL84">
        <v>1</v>
      </c>
      <c r="AN84">
        <v>0</v>
      </c>
      <c r="AO84">
        <v>0</v>
      </c>
      <c r="AP84">
        <v>0</v>
      </c>
      <c r="AQ84">
        <v>0</v>
      </c>
      <c r="AR84">
        <v>0</v>
      </c>
      <c r="AT84">
        <v>100</v>
      </c>
      <c r="AV84">
        <v>0</v>
      </c>
      <c r="AW84">
        <v>1</v>
      </c>
      <c r="AX84">
        <v>-1</v>
      </c>
      <c r="AY84">
        <v>0</v>
      </c>
      <c r="AZ84">
        <v>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CX84">
        <f>Y84*Source!I199</f>
        <v>15.840000000000002</v>
      </c>
      <c r="CY84">
        <f>AA84</f>
        <v>573.34</v>
      </c>
      <c r="CZ84">
        <f>AE84</f>
        <v>104.99</v>
      </c>
      <c r="DA84">
        <f>AI84</f>
        <v>5.45</v>
      </c>
      <c r="DB84">
        <v>0</v>
      </c>
    </row>
    <row r="85" spans="1:106" ht="12.75">
      <c r="A85">
        <f>ROW(Source!A201)</f>
        <v>201</v>
      </c>
      <c r="B85">
        <v>34388368</v>
      </c>
      <c r="C85">
        <v>34389087</v>
      </c>
      <c r="D85">
        <v>7157835</v>
      </c>
      <c r="E85">
        <v>7157832</v>
      </c>
      <c r="F85">
        <v>1</v>
      </c>
      <c r="G85">
        <v>7157832</v>
      </c>
      <c r="H85">
        <v>1</v>
      </c>
      <c r="I85" t="s">
        <v>399</v>
      </c>
      <c r="K85" t="s">
        <v>400</v>
      </c>
      <c r="L85">
        <v>1191</v>
      </c>
      <c r="N85">
        <v>1013</v>
      </c>
      <c r="O85" t="s">
        <v>401</v>
      </c>
      <c r="P85" t="s">
        <v>401</v>
      </c>
      <c r="Q85">
        <v>1</v>
      </c>
      <c r="W85">
        <v>0</v>
      </c>
      <c r="X85">
        <v>946207192</v>
      </c>
      <c r="Y85">
        <v>267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1</v>
      </c>
      <c r="AJ85">
        <v>1</v>
      </c>
      <c r="AK85">
        <v>1</v>
      </c>
      <c r="AL85">
        <v>1</v>
      </c>
      <c r="AN85">
        <v>0</v>
      </c>
      <c r="AO85">
        <v>1</v>
      </c>
      <c r="AP85">
        <v>0</v>
      </c>
      <c r="AQ85">
        <v>0</v>
      </c>
      <c r="AR85">
        <v>0</v>
      </c>
      <c r="AT85">
        <v>267</v>
      </c>
      <c r="AV85">
        <v>1</v>
      </c>
      <c r="AW85">
        <v>2</v>
      </c>
      <c r="AX85">
        <v>34389097</v>
      </c>
      <c r="AY85">
        <v>1</v>
      </c>
      <c r="AZ85">
        <v>0</v>
      </c>
      <c r="BA85">
        <v>84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CX85">
        <f>Y85*Source!I201</f>
        <v>7.11555</v>
      </c>
      <c r="CY85">
        <f>AD85</f>
        <v>0</v>
      </c>
      <c r="CZ85">
        <f>AH85</f>
        <v>0</v>
      </c>
      <c r="DA85">
        <f>AL85</f>
        <v>1</v>
      </c>
      <c r="DB85">
        <v>0</v>
      </c>
    </row>
    <row r="86" spans="1:106" ht="12.75">
      <c r="A86">
        <f>ROW(Source!A201)</f>
        <v>201</v>
      </c>
      <c r="B86">
        <v>34388368</v>
      </c>
      <c r="C86">
        <v>34389087</v>
      </c>
      <c r="D86">
        <v>7159942</v>
      </c>
      <c r="E86">
        <v>7157832</v>
      </c>
      <c r="F86">
        <v>1</v>
      </c>
      <c r="G86">
        <v>7157832</v>
      </c>
      <c r="H86">
        <v>2</v>
      </c>
      <c r="I86" t="s">
        <v>463</v>
      </c>
      <c r="K86" t="s">
        <v>464</v>
      </c>
      <c r="L86">
        <v>1344</v>
      </c>
      <c r="N86">
        <v>1008</v>
      </c>
      <c r="O86" t="s">
        <v>407</v>
      </c>
      <c r="P86" t="s">
        <v>407</v>
      </c>
      <c r="Q86">
        <v>1</v>
      </c>
      <c r="W86">
        <v>0</v>
      </c>
      <c r="X86">
        <v>-450565604</v>
      </c>
      <c r="Y86">
        <v>4.77</v>
      </c>
      <c r="AA86">
        <v>0</v>
      </c>
      <c r="AB86">
        <v>1.05</v>
      </c>
      <c r="AC86">
        <v>0</v>
      </c>
      <c r="AD86">
        <v>0</v>
      </c>
      <c r="AE86">
        <v>0</v>
      </c>
      <c r="AF86">
        <v>1</v>
      </c>
      <c r="AG86">
        <v>0</v>
      </c>
      <c r="AH86">
        <v>0</v>
      </c>
      <c r="AI86">
        <v>1</v>
      </c>
      <c r="AJ86">
        <v>1</v>
      </c>
      <c r="AK86">
        <v>1</v>
      </c>
      <c r="AL86">
        <v>1</v>
      </c>
      <c r="AN86">
        <v>0</v>
      </c>
      <c r="AO86">
        <v>1</v>
      </c>
      <c r="AP86">
        <v>0</v>
      </c>
      <c r="AQ86">
        <v>0</v>
      </c>
      <c r="AR86">
        <v>0</v>
      </c>
      <c r="AT86">
        <v>4.77</v>
      </c>
      <c r="AV86">
        <v>0</v>
      </c>
      <c r="AW86">
        <v>2</v>
      </c>
      <c r="AX86">
        <v>34389098</v>
      </c>
      <c r="AY86">
        <v>1</v>
      </c>
      <c r="AZ86">
        <v>0</v>
      </c>
      <c r="BA86">
        <v>85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CX86">
        <f>Y86*Source!I201</f>
        <v>0.1271205</v>
      </c>
      <c r="CY86">
        <f>AB86</f>
        <v>1.05</v>
      </c>
      <c r="CZ86">
        <f>AF86</f>
        <v>1</v>
      </c>
      <c r="DA86">
        <f>AJ86</f>
        <v>1</v>
      </c>
      <c r="DB86">
        <v>0</v>
      </c>
    </row>
    <row r="87" spans="1:106" ht="12.75">
      <c r="A87">
        <f>ROW(Source!A201)</f>
        <v>201</v>
      </c>
      <c r="B87">
        <v>34388368</v>
      </c>
      <c r="C87">
        <v>34389087</v>
      </c>
      <c r="D87">
        <v>7230977</v>
      </c>
      <c r="E87">
        <v>1</v>
      </c>
      <c r="F87">
        <v>1</v>
      </c>
      <c r="G87">
        <v>7157832</v>
      </c>
      <c r="H87">
        <v>2</v>
      </c>
      <c r="I87" t="s">
        <v>421</v>
      </c>
      <c r="J87" t="s">
        <v>422</v>
      </c>
      <c r="K87" t="s">
        <v>423</v>
      </c>
      <c r="L87">
        <v>1368</v>
      </c>
      <c r="N87">
        <v>1011</v>
      </c>
      <c r="O87" t="s">
        <v>211</v>
      </c>
      <c r="P87" t="s">
        <v>211</v>
      </c>
      <c r="Q87">
        <v>1</v>
      </c>
      <c r="W87">
        <v>0</v>
      </c>
      <c r="X87">
        <v>-1774859560</v>
      </c>
      <c r="Y87">
        <v>11.76</v>
      </c>
      <c r="AA87">
        <v>0</v>
      </c>
      <c r="AB87">
        <v>1689.71</v>
      </c>
      <c r="AC87">
        <v>611.08</v>
      </c>
      <c r="AD87">
        <v>0</v>
      </c>
      <c r="AE87">
        <v>0</v>
      </c>
      <c r="AF87">
        <v>140.58</v>
      </c>
      <c r="AG87">
        <v>28.61</v>
      </c>
      <c r="AH87">
        <v>0</v>
      </c>
      <c r="AI87">
        <v>1</v>
      </c>
      <c r="AJ87">
        <v>11.48</v>
      </c>
      <c r="AK87">
        <v>20.4</v>
      </c>
      <c r="AL87">
        <v>1</v>
      </c>
      <c r="AN87">
        <v>0</v>
      </c>
      <c r="AO87">
        <v>1</v>
      </c>
      <c r="AP87">
        <v>0</v>
      </c>
      <c r="AQ87">
        <v>0</v>
      </c>
      <c r="AR87">
        <v>0</v>
      </c>
      <c r="AT87">
        <v>11.76</v>
      </c>
      <c r="AV87">
        <v>0</v>
      </c>
      <c r="AW87">
        <v>2</v>
      </c>
      <c r="AX87">
        <v>34389099</v>
      </c>
      <c r="AY87">
        <v>1</v>
      </c>
      <c r="AZ87">
        <v>0</v>
      </c>
      <c r="BA87">
        <v>86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CX87">
        <f>Y87*Source!I201</f>
        <v>0.313404</v>
      </c>
      <c r="CY87">
        <f>AB87</f>
        <v>1689.71</v>
      </c>
      <c r="CZ87">
        <f>AF87</f>
        <v>140.58</v>
      </c>
      <c r="DA87">
        <f>AJ87</f>
        <v>11.48</v>
      </c>
      <c r="DB87">
        <v>0</v>
      </c>
    </row>
    <row r="88" spans="1:106" ht="12.75">
      <c r="A88">
        <f>ROW(Source!A201)</f>
        <v>201</v>
      </c>
      <c r="B88">
        <v>34388368</v>
      </c>
      <c r="C88">
        <v>34389087</v>
      </c>
      <c r="D88">
        <v>7231016</v>
      </c>
      <c r="E88">
        <v>1</v>
      </c>
      <c r="F88">
        <v>1</v>
      </c>
      <c r="G88">
        <v>7157832</v>
      </c>
      <c r="H88">
        <v>2</v>
      </c>
      <c r="I88" t="s">
        <v>465</v>
      </c>
      <c r="J88" t="s">
        <v>466</v>
      </c>
      <c r="K88" t="s">
        <v>467</v>
      </c>
      <c r="L88">
        <v>1368</v>
      </c>
      <c r="N88">
        <v>1011</v>
      </c>
      <c r="O88" t="s">
        <v>211</v>
      </c>
      <c r="P88" t="s">
        <v>211</v>
      </c>
      <c r="Q88">
        <v>1</v>
      </c>
      <c r="W88">
        <v>0</v>
      </c>
      <c r="X88">
        <v>239042898</v>
      </c>
      <c r="Y88">
        <v>10.8</v>
      </c>
      <c r="AA88">
        <v>0</v>
      </c>
      <c r="AB88">
        <v>228.18</v>
      </c>
      <c r="AC88">
        <v>39.51</v>
      </c>
      <c r="AD88">
        <v>0</v>
      </c>
      <c r="AE88">
        <v>0</v>
      </c>
      <c r="AF88">
        <v>25.58</v>
      </c>
      <c r="AG88">
        <v>1.85</v>
      </c>
      <c r="AH88">
        <v>0</v>
      </c>
      <c r="AI88">
        <v>1</v>
      </c>
      <c r="AJ88">
        <v>8.52</v>
      </c>
      <c r="AK88">
        <v>20.4</v>
      </c>
      <c r="AL88">
        <v>1</v>
      </c>
      <c r="AN88">
        <v>0</v>
      </c>
      <c r="AO88">
        <v>1</v>
      </c>
      <c r="AP88">
        <v>0</v>
      </c>
      <c r="AQ88">
        <v>0</v>
      </c>
      <c r="AR88">
        <v>0</v>
      </c>
      <c r="AT88">
        <v>10.8</v>
      </c>
      <c r="AV88">
        <v>0</v>
      </c>
      <c r="AW88">
        <v>2</v>
      </c>
      <c r="AX88">
        <v>34389100</v>
      </c>
      <c r="AY88">
        <v>1</v>
      </c>
      <c r="AZ88">
        <v>0</v>
      </c>
      <c r="BA88">
        <v>87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CX88">
        <f>Y88*Source!I201</f>
        <v>0.28782</v>
      </c>
      <c r="CY88">
        <f>AB88</f>
        <v>228.18</v>
      </c>
      <c r="CZ88">
        <f>AF88</f>
        <v>25.58</v>
      </c>
      <c r="DA88">
        <f>AJ88</f>
        <v>8.52</v>
      </c>
      <c r="DB88">
        <v>0</v>
      </c>
    </row>
    <row r="89" spans="1:106" ht="12.75">
      <c r="A89">
        <f>ROW(Source!A201)</f>
        <v>201</v>
      </c>
      <c r="B89">
        <v>34388368</v>
      </c>
      <c r="C89">
        <v>34389087</v>
      </c>
      <c r="D89">
        <v>7182707</v>
      </c>
      <c r="E89">
        <v>7157832</v>
      </c>
      <c r="F89">
        <v>1</v>
      </c>
      <c r="G89">
        <v>7157832</v>
      </c>
      <c r="H89">
        <v>3</v>
      </c>
      <c r="I89" t="s">
        <v>405</v>
      </c>
      <c r="K89" t="s">
        <v>406</v>
      </c>
      <c r="L89">
        <v>1344</v>
      </c>
      <c r="N89">
        <v>1008</v>
      </c>
      <c r="O89" t="s">
        <v>407</v>
      </c>
      <c r="P89" t="s">
        <v>407</v>
      </c>
      <c r="Q89">
        <v>1</v>
      </c>
      <c r="W89">
        <v>0</v>
      </c>
      <c r="X89">
        <v>-360884371</v>
      </c>
      <c r="Y89">
        <v>49.28</v>
      </c>
      <c r="AA89">
        <v>1</v>
      </c>
      <c r="AB89">
        <v>0</v>
      </c>
      <c r="AC89">
        <v>0</v>
      </c>
      <c r="AD89">
        <v>0</v>
      </c>
      <c r="AE89">
        <v>1</v>
      </c>
      <c r="AF89">
        <v>0</v>
      </c>
      <c r="AG89">
        <v>0</v>
      </c>
      <c r="AH89">
        <v>0</v>
      </c>
      <c r="AI89">
        <v>1</v>
      </c>
      <c r="AJ89">
        <v>1</v>
      </c>
      <c r="AK89">
        <v>1</v>
      </c>
      <c r="AL89">
        <v>1</v>
      </c>
      <c r="AN89">
        <v>0</v>
      </c>
      <c r="AO89">
        <v>1</v>
      </c>
      <c r="AP89">
        <v>0</v>
      </c>
      <c r="AQ89">
        <v>0</v>
      </c>
      <c r="AR89">
        <v>0</v>
      </c>
      <c r="AT89">
        <v>49.28</v>
      </c>
      <c r="AV89">
        <v>0</v>
      </c>
      <c r="AW89">
        <v>2</v>
      </c>
      <c r="AX89">
        <v>34389101</v>
      </c>
      <c r="AY89">
        <v>1</v>
      </c>
      <c r="AZ89">
        <v>0</v>
      </c>
      <c r="BA89">
        <v>88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CX89">
        <f>Y89*Source!I201</f>
        <v>1.313312</v>
      </c>
      <c r="CY89">
        <f>AA89</f>
        <v>1</v>
      </c>
      <c r="CZ89">
        <f>AE89</f>
        <v>1</v>
      </c>
      <c r="DA89">
        <f>AI89</f>
        <v>1</v>
      </c>
      <c r="DB89">
        <v>0</v>
      </c>
    </row>
    <row r="90" spans="1:106" ht="12.75">
      <c r="A90">
        <f>ROW(Source!A201)</f>
        <v>201</v>
      </c>
      <c r="B90">
        <v>34388368</v>
      </c>
      <c r="C90">
        <v>34389087</v>
      </c>
      <c r="D90">
        <v>7231827</v>
      </c>
      <c r="E90">
        <v>1</v>
      </c>
      <c r="F90">
        <v>1</v>
      </c>
      <c r="G90">
        <v>7157832</v>
      </c>
      <c r="H90">
        <v>3</v>
      </c>
      <c r="I90" t="s">
        <v>430</v>
      </c>
      <c r="J90" t="s">
        <v>431</v>
      </c>
      <c r="K90" t="s">
        <v>432</v>
      </c>
      <c r="L90">
        <v>1339</v>
      </c>
      <c r="N90">
        <v>1007</v>
      </c>
      <c r="O90" t="s">
        <v>42</v>
      </c>
      <c r="P90" t="s">
        <v>42</v>
      </c>
      <c r="Q90">
        <v>1</v>
      </c>
      <c r="W90">
        <v>0</v>
      </c>
      <c r="X90">
        <v>55300385</v>
      </c>
      <c r="Y90">
        <v>178</v>
      </c>
      <c r="AA90">
        <v>30.04</v>
      </c>
      <c r="AB90">
        <v>0</v>
      </c>
      <c r="AC90">
        <v>0</v>
      </c>
      <c r="AD90">
        <v>0</v>
      </c>
      <c r="AE90">
        <v>7.07</v>
      </c>
      <c r="AF90">
        <v>0</v>
      </c>
      <c r="AG90">
        <v>0</v>
      </c>
      <c r="AH90">
        <v>0</v>
      </c>
      <c r="AI90">
        <v>4.24</v>
      </c>
      <c r="AJ90">
        <v>1</v>
      </c>
      <c r="AK90">
        <v>1</v>
      </c>
      <c r="AL90">
        <v>1</v>
      </c>
      <c r="AN90">
        <v>0</v>
      </c>
      <c r="AO90">
        <v>1</v>
      </c>
      <c r="AP90">
        <v>0</v>
      </c>
      <c r="AQ90">
        <v>0</v>
      </c>
      <c r="AR90">
        <v>0</v>
      </c>
      <c r="AT90">
        <v>178</v>
      </c>
      <c r="AV90">
        <v>0</v>
      </c>
      <c r="AW90">
        <v>2</v>
      </c>
      <c r="AX90">
        <v>34389102</v>
      </c>
      <c r="AY90">
        <v>1</v>
      </c>
      <c r="AZ90">
        <v>0</v>
      </c>
      <c r="BA90">
        <v>89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CX90">
        <f>Y90*Source!I201</f>
        <v>4.7437</v>
      </c>
      <c r="CY90">
        <f>AA90</f>
        <v>30.04</v>
      </c>
      <c r="CZ90">
        <f>AE90</f>
        <v>7.07</v>
      </c>
      <c r="DA90">
        <f>AI90</f>
        <v>4.24</v>
      </c>
      <c r="DB90">
        <v>0</v>
      </c>
    </row>
    <row r="91" spans="1:106" ht="12.75">
      <c r="A91">
        <f>ROW(Source!A201)</f>
        <v>201</v>
      </c>
      <c r="B91">
        <v>34388368</v>
      </c>
      <c r="C91">
        <v>34389087</v>
      </c>
      <c r="D91">
        <v>7231756</v>
      </c>
      <c r="E91">
        <v>1</v>
      </c>
      <c r="F91">
        <v>1</v>
      </c>
      <c r="G91">
        <v>7157832</v>
      </c>
      <c r="H91">
        <v>3</v>
      </c>
      <c r="I91" t="s">
        <v>468</v>
      </c>
      <c r="J91" t="s">
        <v>469</v>
      </c>
      <c r="K91" t="s">
        <v>470</v>
      </c>
      <c r="L91">
        <v>1348</v>
      </c>
      <c r="N91">
        <v>1009</v>
      </c>
      <c r="O91" t="s">
        <v>265</v>
      </c>
      <c r="P91" t="s">
        <v>265</v>
      </c>
      <c r="Q91">
        <v>1000</v>
      </c>
      <c r="W91">
        <v>0</v>
      </c>
      <c r="X91">
        <v>-313357772</v>
      </c>
      <c r="Y91">
        <v>0.09</v>
      </c>
      <c r="AA91">
        <v>12214.23</v>
      </c>
      <c r="AB91">
        <v>0</v>
      </c>
      <c r="AC91">
        <v>0</v>
      </c>
      <c r="AD91">
        <v>0</v>
      </c>
      <c r="AE91">
        <v>3386.07</v>
      </c>
      <c r="AF91">
        <v>0</v>
      </c>
      <c r="AG91">
        <v>0</v>
      </c>
      <c r="AH91">
        <v>0</v>
      </c>
      <c r="AI91">
        <v>3.6</v>
      </c>
      <c r="AJ91">
        <v>1</v>
      </c>
      <c r="AK91">
        <v>1</v>
      </c>
      <c r="AL91">
        <v>1</v>
      </c>
      <c r="AN91">
        <v>0</v>
      </c>
      <c r="AO91">
        <v>1</v>
      </c>
      <c r="AP91">
        <v>0</v>
      </c>
      <c r="AQ91">
        <v>0</v>
      </c>
      <c r="AR91">
        <v>0</v>
      </c>
      <c r="AT91">
        <v>0.09</v>
      </c>
      <c r="AV91">
        <v>0</v>
      </c>
      <c r="AW91">
        <v>2</v>
      </c>
      <c r="AX91">
        <v>34389103</v>
      </c>
      <c r="AY91">
        <v>1</v>
      </c>
      <c r="AZ91">
        <v>0</v>
      </c>
      <c r="BA91">
        <v>90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CX91">
        <f>Y91*Source!I201</f>
        <v>0.0023985</v>
      </c>
      <c r="CY91">
        <f>AA91</f>
        <v>12214.23</v>
      </c>
      <c r="CZ91">
        <f>AE91</f>
        <v>3386.07</v>
      </c>
      <c r="DA91">
        <f>AI91</f>
        <v>3.6</v>
      </c>
      <c r="DB91">
        <v>0</v>
      </c>
    </row>
    <row r="92" spans="1:106" ht="12.75">
      <c r="A92">
        <f>ROW(Source!A201)</f>
        <v>201</v>
      </c>
      <c r="B92">
        <v>34388368</v>
      </c>
      <c r="C92">
        <v>34389087</v>
      </c>
      <c r="D92">
        <v>7232456</v>
      </c>
      <c r="E92">
        <v>1</v>
      </c>
      <c r="F92">
        <v>1</v>
      </c>
      <c r="G92">
        <v>7157832</v>
      </c>
      <c r="H92">
        <v>3</v>
      </c>
      <c r="I92" t="s">
        <v>40</v>
      </c>
      <c r="J92" t="s">
        <v>43</v>
      </c>
      <c r="K92" t="s">
        <v>41</v>
      </c>
      <c r="L92">
        <v>1339</v>
      </c>
      <c r="N92">
        <v>1007</v>
      </c>
      <c r="O92" t="s">
        <v>42</v>
      </c>
      <c r="P92" t="s">
        <v>42</v>
      </c>
      <c r="Q92">
        <v>1</v>
      </c>
      <c r="W92">
        <v>0</v>
      </c>
      <c r="X92">
        <v>-419971176</v>
      </c>
      <c r="Y92">
        <v>40</v>
      </c>
      <c r="AA92">
        <v>573.34</v>
      </c>
      <c r="AB92">
        <v>0</v>
      </c>
      <c r="AC92">
        <v>0</v>
      </c>
      <c r="AD92">
        <v>0</v>
      </c>
      <c r="AE92">
        <v>104.99</v>
      </c>
      <c r="AF92">
        <v>0</v>
      </c>
      <c r="AG92">
        <v>0</v>
      </c>
      <c r="AH92">
        <v>0</v>
      </c>
      <c r="AI92">
        <v>5.45</v>
      </c>
      <c r="AJ92">
        <v>1</v>
      </c>
      <c r="AK92">
        <v>1</v>
      </c>
      <c r="AL92">
        <v>1</v>
      </c>
      <c r="AN92">
        <v>0</v>
      </c>
      <c r="AO92">
        <v>1</v>
      </c>
      <c r="AP92">
        <v>0</v>
      </c>
      <c r="AQ92">
        <v>0</v>
      </c>
      <c r="AR92">
        <v>0</v>
      </c>
      <c r="AT92">
        <v>40</v>
      </c>
      <c r="AV92">
        <v>0</v>
      </c>
      <c r="AW92">
        <v>2</v>
      </c>
      <c r="AX92">
        <v>34389104</v>
      </c>
      <c r="AY92">
        <v>1</v>
      </c>
      <c r="AZ92">
        <v>0</v>
      </c>
      <c r="BA92">
        <v>91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CX92">
        <f>Y92*Source!I201</f>
        <v>1.066</v>
      </c>
      <c r="CY92">
        <f>AA92</f>
        <v>573.34</v>
      </c>
      <c r="CZ92">
        <f>AE92</f>
        <v>104.99</v>
      </c>
      <c r="DA92">
        <f>AI92</f>
        <v>5.45</v>
      </c>
      <c r="DB92">
        <v>0</v>
      </c>
    </row>
    <row r="93" spans="1:106" ht="12.75">
      <c r="A93">
        <f>ROW(Source!A201)</f>
        <v>201</v>
      </c>
      <c r="B93">
        <v>34388368</v>
      </c>
      <c r="C93">
        <v>34389087</v>
      </c>
      <c r="D93">
        <v>7239912</v>
      </c>
      <c r="E93">
        <v>1</v>
      </c>
      <c r="F93">
        <v>1</v>
      </c>
      <c r="G93">
        <v>7157832</v>
      </c>
      <c r="H93">
        <v>3</v>
      </c>
      <c r="I93" t="s">
        <v>471</v>
      </c>
      <c r="J93" t="s">
        <v>472</v>
      </c>
      <c r="K93" t="s">
        <v>473</v>
      </c>
      <c r="L93">
        <v>1327</v>
      </c>
      <c r="N93">
        <v>1005</v>
      </c>
      <c r="O93" t="s">
        <v>73</v>
      </c>
      <c r="P93" t="s">
        <v>73</v>
      </c>
      <c r="Q93">
        <v>1</v>
      </c>
      <c r="W93">
        <v>0</v>
      </c>
      <c r="X93">
        <v>71660933</v>
      </c>
      <c r="Y93">
        <v>10.2</v>
      </c>
      <c r="AA93">
        <v>446.23</v>
      </c>
      <c r="AB93">
        <v>0</v>
      </c>
      <c r="AC93">
        <v>0</v>
      </c>
      <c r="AD93">
        <v>0</v>
      </c>
      <c r="AE93">
        <v>90.15</v>
      </c>
      <c r="AF93">
        <v>0</v>
      </c>
      <c r="AG93">
        <v>0</v>
      </c>
      <c r="AH93">
        <v>0</v>
      </c>
      <c r="AI93">
        <v>4.94</v>
      </c>
      <c r="AJ93">
        <v>1</v>
      </c>
      <c r="AK93">
        <v>1</v>
      </c>
      <c r="AL93">
        <v>1</v>
      </c>
      <c r="AN93">
        <v>0</v>
      </c>
      <c r="AO93">
        <v>1</v>
      </c>
      <c r="AP93">
        <v>0</v>
      </c>
      <c r="AQ93">
        <v>0</v>
      </c>
      <c r="AR93">
        <v>0</v>
      </c>
      <c r="AT93">
        <v>10.2</v>
      </c>
      <c r="AV93">
        <v>0</v>
      </c>
      <c r="AW93">
        <v>2</v>
      </c>
      <c r="AX93">
        <v>34389105</v>
      </c>
      <c r="AY93">
        <v>1</v>
      </c>
      <c r="AZ93">
        <v>0</v>
      </c>
      <c r="BA93">
        <v>92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CX93">
        <f>Y93*Source!I201</f>
        <v>0.27182999999999996</v>
      </c>
      <c r="CY93">
        <f>AA93</f>
        <v>446.23</v>
      </c>
      <c r="CZ93">
        <f>AE93</f>
        <v>90.15</v>
      </c>
      <c r="DA93">
        <f>AI93</f>
        <v>4.94</v>
      </c>
      <c r="DB93">
        <v>0</v>
      </c>
    </row>
    <row r="94" spans="1:106" ht="12.75">
      <c r="A94">
        <f>ROW(Source!A202)</f>
        <v>202</v>
      </c>
      <c r="B94">
        <v>34388368</v>
      </c>
      <c r="C94">
        <v>34389107</v>
      </c>
      <c r="D94">
        <v>7157835</v>
      </c>
      <c r="E94">
        <v>7157832</v>
      </c>
      <c r="F94">
        <v>1</v>
      </c>
      <c r="G94">
        <v>7157832</v>
      </c>
      <c r="H94">
        <v>1</v>
      </c>
      <c r="I94" t="s">
        <v>399</v>
      </c>
      <c r="K94" t="s">
        <v>400</v>
      </c>
      <c r="L94">
        <v>1191</v>
      </c>
      <c r="N94">
        <v>1013</v>
      </c>
      <c r="O94" t="s">
        <v>401</v>
      </c>
      <c r="P94" t="s">
        <v>401</v>
      </c>
      <c r="Q94">
        <v>1</v>
      </c>
      <c r="W94">
        <v>0</v>
      </c>
      <c r="X94">
        <v>946207192</v>
      </c>
      <c r="Y94">
        <v>4.29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1</v>
      </c>
      <c r="AJ94">
        <v>1</v>
      </c>
      <c r="AK94">
        <v>1</v>
      </c>
      <c r="AL94">
        <v>1</v>
      </c>
      <c r="AN94">
        <v>0</v>
      </c>
      <c r="AO94">
        <v>1</v>
      </c>
      <c r="AP94">
        <v>0</v>
      </c>
      <c r="AQ94">
        <v>0</v>
      </c>
      <c r="AR94">
        <v>0</v>
      </c>
      <c r="AT94">
        <v>4.29</v>
      </c>
      <c r="AV94">
        <v>1</v>
      </c>
      <c r="AW94">
        <v>2</v>
      </c>
      <c r="AX94">
        <v>34389118</v>
      </c>
      <c r="AY94">
        <v>1</v>
      </c>
      <c r="AZ94">
        <v>0</v>
      </c>
      <c r="BA94">
        <v>94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CX94">
        <f>Y94*Source!I202</f>
        <v>2.6229060000000004</v>
      </c>
      <c r="CY94">
        <f>AD94</f>
        <v>0</v>
      </c>
      <c r="CZ94">
        <f>AH94</f>
        <v>0</v>
      </c>
      <c r="DA94">
        <f>AL94</f>
        <v>1</v>
      </c>
      <c r="DB94">
        <v>0</v>
      </c>
    </row>
    <row r="95" spans="1:106" ht="12.75">
      <c r="A95">
        <f>ROW(Source!A202)</f>
        <v>202</v>
      </c>
      <c r="B95">
        <v>34388368</v>
      </c>
      <c r="C95">
        <v>34389107</v>
      </c>
      <c r="D95">
        <v>7231127</v>
      </c>
      <c r="E95">
        <v>1</v>
      </c>
      <c r="F95">
        <v>1</v>
      </c>
      <c r="G95">
        <v>7157832</v>
      </c>
      <c r="H95">
        <v>2</v>
      </c>
      <c r="I95" t="s">
        <v>442</v>
      </c>
      <c r="J95" t="s">
        <v>443</v>
      </c>
      <c r="K95" t="s">
        <v>444</v>
      </c>
      <c r="L95">
        <v>1368</v>
      </c>
      <c r="N95">
        <v>1011</v>
      </c>
      <c r="O95" t="s">
        <v>211</v>
      </c>
      <c r="P95" t="s">
        <v>211</v>
      </c>
      <c r="Q95">
        <v>1</v>
      </c>
      <c r="W95">
        <v>0</v>
      </c>
      <c r="X95">
        <v>906258752</v>
      </c>
      <c r="Y95">
        <v>0.3</v>
      </c>
      <c r="AA95">
        <v>0</v>
      </c>
      <c r="AB95">
        <v>650.9</v>
      </c>
      <c r="AC95">
        <v>394.71</v>
      </c>
      <c r="AD95">
        <v>0</v>
      </c>
      <c r="AE95">
        <v>0</v>
      </c>
      <c r="AF95">
        <v>60.77</v>
      </c>
      <c r="AG95">
        <v>18.48</v>
      </c>
      <c r="AH95">
        <v>0</v>
      </c>
      <c r="AI95">
        <v>1</v>
      </c>
      <c r="AJ95">
        <v>10.23</v>
      </c>
      <c r="AK95">
        <v>20.4</v>
      </c>
      <c r="AL95">
        <v>1</v>
      </c>
      <c r="AN95">
        <v>0</v>
      </c>
      <c r="AO95">
        <v>1</v>
      </c>
      <c r="AP95">
        <v>0</v>
      </c>
      <c r="AQ95">
        <v>0</v>
      </c>
      <c r="AR95">
        <v>0</v>
      </c>
      <c r="AT95">
        <v>0.3</v>
      </c>
      <c r="AV95">
        <v>0</v>
      </c>
      <c r="AW95">
        <v>2</v>
      </c>
      <c r="AX95">
        <v>34389119</v>
      </c>
      <c r="AY95">
        <v>1</v>
      </c>
      <c r="AZ95">
        <v>0</v>
      </c>
      <c r="BA95">
        <v>95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CX95">
        <f>Y95*Source!I202</f>
        <v>0.18342</v>
      </c>
      <c r="CY95">
        <f aca="true" t="shared" si="9" ref="CY95:CY102">AB95</f>
        <v>650.9</v>
      </c>
      <c r="CZ95">
        <f aca="true" t="shared" si="10" ref="CZ95:CZ102">AF95</f>
        <v>60.77</v>
      </c>
      <c r="DA95">
        <f aca="true" t="shared" si="11" ref="DA95:DA102">AJ95</f>
        <v>10.23</v>
      </c>
      <c r="DB95">
        <v>0</v>
      </c>
    </row>
    <row r="96" spans="1:106" ht="12.75">
      <c r="A96">
        <f>ROW(Source!A202)</f>
        <v>202</v>
      </c>
      <c r="B96">
        <v>34388368</v>
      </c>
      <c r="C96">
        <v>34389107</v>
      </c>
      <c r="D96">
        <v>7230893</v>
      </c>
      <c r="E96">
        <v>1</v>
      </c>
      <c r="F96">
        <v>1</v>
      </c>
      <c r="G96">
        <v>7157832</v>
      </c>
      <c r="H96">
        <v>2</v>
      </c>
      <c r="I96" t="s">
        <v>445</v>
      </c>
      <c r="J96" t="s">
        <v>446</v>
      </c>
      <c r="K96" t="s">
        <v>447</v>
      </c>
      <c r="L96">
        <v>1368</v>
      </c>
      <c r="N96">
        <v>1011</v>
      </c>
      <c r="O96" t="s">
        <v>211</v>
      </c>
      <c r="P96" t="s">
        <v>211</v>
      </c>
      <c r="Q96">
        <v>1</v>
      </c>
      <c r="W96">
        <v>0</v>
      </c>
      <c r="X96">
        <v>-1762689579</v>
      </c>
      <c r="Y96">
        <v>0.3</v>
      </c>
      <c r="AA96">
        <v>0</v>
      </c>
      <c r="AB96">
        <v>1021.46</v>
      </c>
      <c r="AC96">
        <v>410.09</v>
      </c>
      <c r="AD96">
        <v>0</v>
      </c>
      <c r="AE96">
        <v>0</v>
      </c>
      <c r="AF96">
        <v>106.74</v>
      </c>
      <c r="AG96">
        <v>19.2</v>
      </c>
      <c r="AH96">
        <v>0</v>
      </c>
      <c r="AI96">
        <v>1</v>
      </c>
      <c r="AJ96">
        <v>9.14</v>
      </c>
      <c r="AK96">
        <v>20.4</v>
      </c>
      <c r="AL96">
        <v>1</v>
      </c>
      <c r="AN96">
        <v>0</v>
      </c>
      <c r="AO96">
        <v>1</v>
      </c>
      <c r="AP96">
        <v>0</v>
      </c>
      <c r="AQ96">
        <v>0</v>
      </c>
      <c r="AR96">
        <v>0</v>
      </c>
      <c r="AT96">
        <v>0.3</v>
      </c>
      <c r="AV96">
        <v>0</v>
      </c>
      <c r="AW96">
        <v>2</v>
      </c>
      <c r="AX96">
        <v>34389120</v>
      </c>
      <c r="AY96">
        <v>1</v>
      </c>
      <c r="AZ96">
        <v>0</v>
      </c>
      <c r="BA96">
        <v>96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CX96">
        <f>Y96*Source!I202</f>
        <v>0.18342</v>
      </c>
      <c r="CY96">
        <f t="shared" si="9"/>
        <v>1021.46</v>
      </c>
      <c r="CZ96">
        <f t="shared" si="10"/>
        <v>106.74</v>
      </c>
      <c r="DA96">
        <f t="shared" si="11"/>
        <v>9.14</v>
      </c>
      <c r="DB96">
        <v>0</v>
      </c>
    </row>
    <row r="97" spans="1:106" ht="12.75">
      <c r="A97">
        <f>ROW(Source!A202)</f>
        <v>202</v>
      </c>
      <c r="B97">
        <v>34388368</v>
      </c>
      <c r="C97">
        <v>34389107</v>
      </c>
      <c r="D97">
        <v>7230976</v>
      </c>
      <c r="E97">
        <v>1</v>
      </c>
      <c r="F97">
        <v>1</v>
      </c>
      <c r="G97">
        <v>7157832</v>
      </c>
      <c r="H97">
        <v>2</v>
      </c>
      <c r="I97" t="s">
        <v>448</v>
      </c>
      <c r="J97" t="s">
        <v>449</v>
      </c>
      <c r="K97" t="s">
        <v>450</v>
      </c>
      <c r="L97">
        <v>1368</v>
      </c>
      <c r="N97">
        <v>1011</v>
      </c>
      <c r="O97" t="s">
        <v>211</v>
      </c>
      <c r="P97" t="s">
        <v>211</v>
      </c>
      <c r="Q97">
        <v>1</v>
      </c>
      <c r="W97">
        <v>0</v>
      </c>
      <c r="X97">
        <v>738676200</v>
      </c>
      <c r="Y97">
        <v>0.3</v>
      </c>
      <c r="AA97">
        <v>0</v>
      </c>
      <c r="AB97">
        <v>1016.39</v>
      </c>
      <c r="AC97">
        <v>611.08</v>
      </c>
      <c r="AD97">
        <v>0</v>
      </c>
      <c r="AE97">
        <v>0</v>
      </c>
      <c r="AF97">
        <v>148.89</v>
      </c>
      <c r="AG97">
        <v>28.61</v>
      </c>
      <c r="AH97">
        <v>0</v>
      </c>
      <c r="AI97">
        <v>1</v>
      </c>
      <c r="AJ97">
        <v>6.52</v>
      </c>
      <c r="AK97">
        <v>20.4</v>
      </c>
      <c r="AL97">
        <v>1</v>
      </c>
      <c r="AN97">
        <v>0</v>
      </c>
      <c r="AO97">
        <v>1</v>
      </c>
      <c r="AP97">
        <v>0</v>
      </c>
      <c r="AQ97">
        <v>0</v>
      </c>
      <c r="AR97">
        <v>0</v>
      </c>
      <c r="AT97">
        <v>0.3</v>
      </c>
      <c r="AV97">
        <v>0</v>
      </c>
      <c r="AW97">
        <v>2</v>
      </c>
      <c r="AX97">
        <v>34389121</v>
      </c>
      <c r="AY97">
        <v>1</v>
      </c>
      <c r="AZ97">
        <v>0</v>
      </c>
      <c r="BA97">
        <v>97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CX97">
        <f>Y97*Source!I202</f>
        <v>0.18342</v>
      </c>
      <c r="CY97">
        <f t="shared" si="9"/>
        <v>1016.39</v>
      </c>
      <c r="CZ97">
        <f t="shared" si="10"/>
        <v>148.89</v>
      </c>
      <c r="DA97">
        <f t="shared" si="11"/>
        <v>6.52</v>
      </c>
      <c r="DB97">
        <v>0</v>
      </c>
    </row>
    <row r="98" spans="1:106" ht="12.75">
      <c r="A98">
        <f>ROW(Source!A202)</f>
        <v>202</v>
      </c>
      <c r="B98">
        <v>34388368</v>
      </c>
      <c r="C98">
        <v>34389107</v>
      </c>
      <c r="D98">
        <v>7230978</v>
      </c>
      <c r="E98">
        <v>1</v>
      </c>
      <c r="F98">
        <v>1</v>
      </c>
      <c r="G98">
        <v>7157832</v>
      </c>
      <c r="H98">
        <v>2</v>
      </c>
      <c r="I98" t="s">
        <v>451</v>
      </c>
      <c r="J98" t="s">
        <v>452</v>
      </c>
      <c r="K98" t="s">
        <v>453</v>
      </c>
      <c r="L98">
        <v>1368</v>
      </c>
      <c r="N98">
        <v>1011</v>
      </c>
      <c r="O98" t="s">
        <v>211</v>
      </c>
      <c r="P98" t="s">
        <v>211</v>
      </c>
      <c r="Q98">
        <v>1</v>
      </c>
      <c r="W98">
        <v>0</v>
      </c>
      <c r="X98">
        <v>714527484</v>
      </c>
      <c r="Y98">
        <v>0.3</v>
      </c>
      <c r="AA98">
        <v>0</v>
      </c>
      <c r="AB98">
        <v>2785.99</v>
      </c>
      <c r="AC98">
        <v>915.22</v>
      </c>
      <c r="AD98">
        <v>0</v>
      </c>
      <c r="AE98">
        <v>0</v>
      </c>
      <c r="AF98">
        <v>249.15</v>
      </c>
      <c r="AG98">
        <v>42.85</v>
      </c>
      <c r="AH98">
        <v>0</v>
      </c>
      <c r="AI98">
        <v>1</v>
      </c>
      <c r="AJ98">
        <v>10.68</v>
      </c>
      <c r="AK98">
        <v>20.4</v>
      </c>
      <c r="AL98">
        <v>1</v>
      </c>
      <c r="AN98">
        <v>0</v>
      </c>
      <c r="AO98">
        <v>1</v>
      </c>
      <c r="AP98">
        <v>0</v>
      </c>
      <c r="AQ98">
        <v>0</v>
      </c>
      <c r="AR98">
        <v>0</v>
      </c>
      <c r="AT98">
        <v>0.3</v>
      </c>
      <c r="AV98">
        <v>0</v>
      </c>
      <c r="AW98">
        <v>2</v>
      </c>
      <c r="AX98">
        <v>34389122</v>
      </c>
      <c r="AY98">
        <v>1</v>
      </c>
      <c r="AZ98">
        <v>0</v>
      </c>
      <c r="BA98">
        <v>98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CX98">
        <f>Y98*Source!I202</f>
        <v>0.18342</v>
      </c>
      <c r="CY98">
        <f t="shared" si="9"/>
        <v>2785.99</v>
      </c>
      <c r="CZ98">
        <f t="shared" si="10"/>
        <v>249.15</v>
      </c>
      <c r="DA98">
        <f t="shared" si="11"/>
        <v>10.68</v>
      </c>
      <c r="DB98">
        <v>0</v>
      </c>
    </row>
    <row r="99" spans="1:106" ht="12.75">
      <c r="A99">
        <f>ROW(Source!A202)</f>
        <v>202</v>
      </c>
      <c r="B99">
        <v>34388368</v>
      </c>
      <c r="C99">
        <v>34389107</v>
      </c>
      <c r="D99">
        <v>7230962</v>
      </c>
      <c r="E99">
        <v>1</v>
      </c>
      <c r="F99">
        <v>1</v>
      </c>
      <c r="G99">
        <v>7157832</v>
      </c>
      <c r="H99">
        <v>2</v>
      </c>
      <c r="I99" t="s">
        <v>436</v>
      </c>
      <c r="J99" t="s">
        <v>437</v>
      </c>
      <c r="K99" t="s">
        <v>438</v>
      </c>
      <c r="L99">
        <v>1368</v>
      </c>
      <c r="N99">
        <v>1011</v>
      </c>
      <c r="O99" t="s">
        <v>211</v>
      </c>
      <c r="P99" t="s">
        <v>211</v>
      </c>
      <c r="Q99">
        <v>1</v>
      </c>
      <c r="W99">
        <v>0</v>
      </c>
      <c r="X99">
        <v>633757042</v>
      </c>
      <c r="Y99">
        <v>0.3</v>
      </c>
      <c r="AA99">
        <v>0</v>
      </c>
      <c r="AB99">
        <v>1083.44</v>
      </c>
      <c r="AC99">
        <v>488.05</v>
      </c>
      <c r="AD99">
        <v>0</v>
      </c>
      <c r="AE99">
        <v>0</v>
      </c>
      <c r="AF99">
        <v>84.82</v>
      </c>
      <c r="AG99">
        <v>22.85</v>
      </c>
      <c r="AH99">
        <v>0</v>
      </c>
      <c r="AI99">
        <v>1</v>
      </c>
      <c r="AJ99">
        <v>12.2</v>
      </c>
      <c r="AK99">
        <v>20.4</v>
      </c>
      <c r="AL99">
        <v>1</v>
      </c>
      <c r="AN99">
        <v>0</v>
      </c>
      <c r="AO99">
        <v>1</v>
      </c>
      <c r="AP99">
        <v>0</v>
      </c>
      <c r="AQ99">
        <v>0</v>
      </c>
      <c r="AR99">
        <v>0</v>
      </c>
      <c r="AT99">
        <v>0.3</v>
      </c>
      <c r="AV99">
        <v>0</v>
      </c>
      <c r="AW99">
        <v>2</v>
      </c>
      <c r="AX99">
        <v>34389123</v>
      </c>
      <c r="AY99">
        <v>1</v>
      </c>
      <c r="AZ99">
        <v>0</v>
      </c>
      <c r="BA99">
        <v>99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CX99">
        <f>Y99*Source!I202</f>
        <v>0.18342</v>
      </c>
      <c r="CY99">
        <f t="shared" si="9"/>
        <v>1083.44</v>
      </c>
      <c r="CZ99">
        <f t="shared" si="10"/>
        <v>84.82</v>
      </c>
      <c r="DA99">
        <f t="shared" si="11"/>
        <v>12.2</v>
      </c>
      <c r="DB99">
        <v>0</v>
      </c>
    </row>
    <row r="100" spans="1:106" ht="12.75">
      <c r="A100">
        <f>ROW(Source!A202)</f>
        <v>202</v>
      </c>
      <c r="B100">
        <v>34388368</v>
      </c>
      <c r="C100">
        <v>34389107</v>
      </c>
      <c r="D100">
        <v>7230993</v>
      </c>
      <c r="E100">
        <v>1</v>
      </c>
      <c r="F100">
        <v>1</v>
      </c>
      <c r="G100">
        <v>7157832</v>
      </c>
      <c r="H100">
        <v>2</v>
      </c>
      <c r="I100" t="s">
        <v>454</v>
      </c>
      <c r="J100" t="s">
        <v>455</v>
      </c>
      <c r="K100" t="s">
        <v>456</v>
      </c>
      <c r="L100">
        <v>1368</v>
      </c>
      <c r="N100">
        <v>1011</v>
      </c>
      <c r="O100" t="s">
        <v>211</v>
      </c>
      <c r="P100" t="s">
        <v>211</v>
      </c>
      <c r="Q100">
        <v>1</v>
      </c>
      <c r="W100">
        <v>0</v>
      </c>
      <c r="X100">
        <v>-1025674698</v>
      </c>
      <c r="Y100">
        <v>0.3</v>
      </c>
      <c r="AA100">
        <v>0</v>
      </c>
      <c r="AB100">
        <v>1050.17</v>
      </c>
      <c r="AC100">
        <v>606.59</v>
      </c>
      <c r="AD100">
        <v>0</v>
      </c>
      <c r="AE100">
        <v>0</v>
      </c>
      <c r="AF100">
        <v>124.6</v>
      </c>
      <c r="AG100">
        <v>28.4</v>
      </c>
      <c r="AH100">
        <v>0</v>
      </c>
      <c r="AI100">
        <v>1</v>
      </c>
      <c r="AJ100">
        <v>8.05</v>
      </c>
      <c r="AK100">
        <v>20.4</v>
      </c>
      <c r="AL100">
        <v>1</v>
      </c>
      <c r="AN100">
        <v>0</v>
      </c>
      <c r="AO100">
        <v>1</v>
      </c>
      <c r="AP100">
        <v>0</v>
      </c>
      <c r="AQ100">
        <v>0</v>
      </c>
      <c r="AR100">
        <v>0</v>
      </c>
      <c r="AT100">
        <v>0.3</v>
      </c>
      <c r="AV100">
        <v>0</v>
      </c>
      <c r="AW100">
        <v>2</v>
      </c>
      <c r="AX100">
        <v>34389124</v>
      </c>
      <c r="AY100">
        <v>1</v>
      </c>
      <c r="AZ100">
        <v>0</v>
      </c>
      <c r="BA100">
        <v>100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CX100">
        <f>Y100*Source!I202</f>
        <v>0.18342</v>
      </c>
      <c r="CY100">
        <f t="shared" si="9"/>
        <v>1050.17</v>
      </c>
      <c r="CZ100">
        <f t="shared" si="10"/>
        <v>124.6</v>
      </c>
      <c r="DA100">
        <f t="shared" si="11"/>
        <v>8.05</v>
      </c>
      <c r="DB100">
        <v>0</v>
      </c>
    </row>
    <row r="101" spans="1:106" ht="12.75">
      <c r="A101">
        <f>ROW(Source!A202)</f>
        <v>202</v>
      </c>
      <c r="B101">
        <v>34388368</v>
      </c>
      <c r="C101">
        <v>34389107</v>
      </c>
      <c r="D101">
        <v>7230966</v>
      </c>
      <c r="E101">
        <v>1</v>
      </c>
      <c r="F101">
        <v>1</v>
      </c>
      <c r="G101">
        <v>7157832</v>
      </c>
      <c r="H101">
        <v>2</v>
      </c>
      <c r="I101" t="s">
        <v>457</v>
      </c>
      <c r="J101" t="s">
        <v>458</v>
      </c>
      <c r="K101" t="s">
        <v>459</v>
      </c>
      <c r="L101">
        <v>1368</v>
      </c>
      <c r="N101">
        <v>1011</v>
      </c>
      <c r="O101" t="s">
        <v>211</v>
      </c>
      <c r="P101" t="s">
        <v>211</v>
      </c>
      <c r="Q101">
        <v>1</v>
      </c>
      <c r="W101">
        <v>0</v>
      </c>
      <c r="X101">
        <v>-848822828</v>
      </c>
      <c r="Y101">
        <v>0.3</v>
      </c>
      <c r="AA101">
        <v>0</v>
      </c>
      <c r="AB101">
        <v>1152.31</v>
      </c>
      <c r="AC101">
        <v>495.1</v>
      </c>
      <c r="AD101">
        <v>0</v>
      </c>
      <c r="AE101">
        <v>0</v>
      </c>
      <c r="AF101">
        <v>88.4</v>
      </c>
      <c r="AG101">
        <v>23.18</v>
      </c>
      <c r="AH101">
        <v>0</v>
      </c>
      <c r="AI101">
        <v>1</v>
      </c>
      <c r="AJ101">
        <v>12.45</v>
      </c>
      <c r="AK101">
        <v>20.4</v>
      </c>
      <c r="AL101">
        <v>1</v>
      </c>
      <c r="AN101">
        <v>0</v>
      </c>
      <c r="AO101">
        <v>1</v>
      </c>
      <c r="AP101">
        <v>0</v>
      </c>
      <c r="AQ101">
        <v>0</v>
      </c>
      <c r="AR101">
        <v>0</v>
      </c>
      <c r="AT101">
        <v>0.3</v>
      </c>
      <c r="AV101">
        <v>0</v>
      </c>
      <c r="AW101">
        <v>2</v>
      </c>
      <c r="AX101">
        <v>34389125</v>
      </c>
      <c r="AY101">
        <v>1</v>
      </c>
      <c r="AZ101">
        <v>0</v>
      </c>
      <c r="BA101">
        <v>101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CX101">
        <f>Y101*Source!I202</f>
        <v>0.18342</v>
      </c>
      <c r="CY101">
        <f t="shared" si="9"/>
        <v>1152.31</v>
      </c>
      <c r="CZ101">
        <f t="shared" si="10"/>
        <v>88.4</v>
      </c>
      <c r="DA101">
        <f t="shared" si="11"/>
        <v>12.45</v>
      </c>
      <c r="DB101">
        <v>0</v>
      </c>
    </row>
    <row r="102" spans="1:106" ht="12.75">
      <c r="A102">
        <f>ROW(Source!A202)</f>
        <v>202</v>
      </c>
      <c r="B102">
        <v>34388368</v>
      </c>
      <c r="C102">
        <v>34389107</v>
      </c>
      <c r="D102">
        <v>7230967</v>
      </c>
      <c r="E102">
        <v>1</v>
      </c>
      <c r="F102">
        <v>1</v>
      </c>
      <c r="G102">
        <v>7157832</v>
      </c>
      <c r="H102">
        <v>2</v>
      </c>
      <c r="I102" t="s">
        <v>427</v>
      </c>
      <c r="J102" t="s">
        <v>428</v>
      </c>
      <c r="K102" t="s">
        <v>429</v>
      </c>
      <c r="L102">
        <v>1368</v>
      </c>
      <c r="N102">
        <v>1011</v>
      </c>
      <c r="O102" t="s">
        <v>211</v>
      </c>
      <c r="P102" t="s">
        <v>211</v>
      </c>
      <c r="Q102">
        <v>1</v>
      </c>
      <c r="W102">
        <v>0</v>
      </c>
      <c r="X102">
        <v>-729676069</v>
      </c>
      <c r="Y102">
        <v>0.9</v>
      </c>
      <c r="AA102">
        <v>0</v>
      </c>
      <c r="AB102">
        <v>1731.53</v>
      </c>
      <c r="AC102">
        <v>501.93</v>
      </c>
      <c r="AD102">
        <v>0</v>
      </c>
      <c r="AE102">
        <v>0</v>
      </c>
      <c r="AF102">
        <v>178.02</v>
      </c>
      <c r="AG102">
        <v>23.5</v>
      </c>
      <c r="AH102">
        <v>0</v>
      </c>
      <c r="AI102">
        <v>1</v>
      </c>
      <c r="AJ102">
        <v>9.29</v>
      </c>
      <c r="AK102">
        <v>20.4</v>
      </c>
      <c r="AL102">
        <v>1</v>
      </c>
      <c r="AN102">
        <v>0</v>
      </c>
      <c r="AO102">
        <v>1</v>
      </c>
      <c r="AP102">
        <v>0</v>
      </c>
      <c r="AQ102">
        <v>0</v>
      </c>
      <c r="AR102">
        <v>0</v>
      </c>
      <c r="AT102">
        <v>0.9</v>
      </c>
      <c r="AV102">
        <v>0</v>
      </c>
      <c r="AW102">
        <v>2</v>
      </c>
      <c r="AX102">
        <v>34389126</v>
      </c>
      <c r="AY102">
        <v>1</v>
      </c>
      <c r="AZ102">
        <v>0</v>
      </c>
      <c r="BA102">
        <v>102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CX102">
        <f>Y102*Source!I202</f>
        <v>0.5502600000000001</v>
      </c>
      <c r="CY102">
        <f t="shared" si="9"/>
        <v>1731.53</v>
      </c>
      <c r="CZ102">
        <f t="shared" si="10"/>
        <v>178.02</v>
      </c>
      <c r="DA102">
        <f t="shared" si="11"/>
        <v>9.29</v>
      </c>
      <c r="DB102">
        <v>0</v>
      </c>
    </row>
    <row r="103" spans="1:106" ht="12.75">
      <c r="A103">
        <f>ROW(Source!A202)</f>
        <v>202</v>
      </c>
      <c r="B103">
        <v>34388368</v>
      </c>
      <c r="C103">
        <v>34389107</v>
      </c>
      <c r="D103">
        <v>7235091</v>
      </c>
      <c r="E103">
        <v>1</v>
      </c>
      <c r="F103">
        <v>1</v>
      </c>
      <c r="G103">
        <v>7157832</v>
      </c>
      <c r="H103">
        <v>3</v>
      </c>
      <c r="I103" t="s">
        <v>460</v>
      </c>
      <c r="J103" t="s">
        <v>461</v>
      </c>
      <c r="K103" t="s">
        <v>462</v>
      </c>
      <c r="L103">
        <v>1348</v>
      </c>
      <c r="N103">
        <v>1009</v>
      </c>
      <c r="O103" t="s">
        <v>265</v>
      </c>
      <c r="P103" t="s">
        <v>265</v>
      </c>
      <c r="Q103">
        <v>1000</v>
      </c>
      <c r="W103">
        <v>0</v>
      </c>
      <c r="X103">
        <v>-1274242938</v>
      </c>
      <c r="Y103">
        <v>0.04</v>
      </c>
      <c r="AA103">
        <v>12955</v>
      </c>
      <c r="AB103">
        <v>0</v>
      </c>
      <c r="AC103">
        <v>0</v>
      </c>
      <c r="AD103">
        <v>0</v>
      </c>
      <c r="AE103">
        <v>1445.87</v>
      </c>
      <c r="AF103">
        <v>0</v>
      </c>
      <c r="AG103">
        <v>0</v>
      </c>
      <c r="AH103">
        <v>0</v>
      </c>
      <c r="AI103">
        <v>8.96</v>
      </c>
      <c r="AJ103">
        <v>1</v>
      </c>
      <c r="AK103">
        <v>1</v>
      </c>
      <c r="AL103">
        <v>1</v>
      </c>
      <c r="AN103">
        <v>0</v>
      </c>
      <c r="AO103">
        <v>1</v>
      </c>
      <c r="AP103">
        <v>0</v>
      </c>
      <c r="AQ103">
        <v>0</v>
      </c>
      <c r="AR103">
        <v>0</v>
      </c>
      <c r="AT103">
        <v>0.04</v>
      </c>
      <c r="AV103">
        <v>0</v>
      </c>
      <c r="AW103">
        <v>2</v>
      </c>
      <c r="AX103">
        <v>34389127</v>
      </c>
      <c r="AY103">
        <v>1</v>
      </c>
      <c r="AZ103">
        <v>0</v>
      </c>
      <c r="BA103">
        <v>103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CX103">
        <f>Y103*Source!I202</f>
        <v>0.024456000000000002</v>
      </c>
      <c r="CY103">
        <f>AA103</f>
        <v>12955</v>
      </c>
      <c r="CZ103">
        <f>AE103</f>
        <v>1445.87</v>
      </c>
      <c r="DA103">
        <f>AI103</f>
        <v>8.96</v>
      </c>
      <c r="DB103">
        <v>0</v>
      </c>
    </row>
    <row r="104" spans="1:106" ht="12.75">
      <c r="A104">
        <f>ROW(Source!A203)</f>
        <v>203</v>
      </c>
      <c r="B104">
        <v>34388368</v>
      </c>
      <c r="C104">
        <v>34389129</v>
      </c>
      <c r="D104">
        <v>7157835</v>
      </c>
      <c r="E104">
        <v>7157832</v>
      </c>
      <c r="F104">
        <v>1</v>
      </c>
      <c r="G104">
        <v>7157832</v>
      </c>
      <c r="H104">
        <v>1</v>
      </c>
      <c r="I104" t="s">
        <v>399</v>
      </c>
      <c r="K104" t="s">
        <v>400</v>
      </c>
      <c r="L104">
        <v>1191</v>
      </c>
      <c r="N104">
        <v>1013</v>
      </c>
      <c r="O104" t="s">
        <v>401</v>
      </c>
      <c r="P104" t="s">
        <v>401</v>
      </c>
      <c r="Q104">
        <v>1</v>
      </c>
      <c r="W104">
        <v>0</v>
      </c>
      <c r="X104">
        <v>946207192</v>
      </c>
      <c r="Y104">
        <v>0.53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1</v>
      </c>
      <c r="AJ104">
        <v>1</v>
      </c>
      <c r="AK104">
        <v>1</v>
      </c>
      <c r="AL104">
        <v>1</v>
      </c>
      <c r="AN104">
        <v>0</v>
      </c>
      <c r="AO104">
        <v>1</v>
      </c>
      <c r="AP104">
        <v>0</v>
      </c>
      <c r="AQ104">
        <v>0</v>
      </c>
      <c r="AR104">
        <v>0</v>
      </c>
      <c r="AT104">
        <v>0.53</v>
      </c>
      <c r="AV104">
        <v>1</v>
      </c>
      <c r="AW104">
        <v>2</v>
      </c>
      <c r="AX104">
        <v>34389133</v>
      </c>
      <c r="AY104">
        <v>1</v>
      </c>
      <c r="AZ104">
        <v>0</v>
      </c>
      <c r="BA104">
        <v>105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CX104">
        <f>Y104*Source!I203</f>
        <v>0.10801400000000001</v>
      </c>
      <c r="CY104">
        <f>AD104</f>
        <v>0</v>
      </c>
      <c r="CZ104">
        <f>AH104</f>
        <v>0</v>
      </c>
      <c r="DA104">
        <f>AL104</f>
        <v>1</v>
      </c>
      <c r="DB104">
        <v>0</v>
      </c>
    </row>
    <row r="105" spans="1:106" ht="12.75">
      <c r="A105">
        <f>ROW(Source!A203)</f>
        <v>203</v>
      </c>
      <c r="B105">
        <v>34388368</v>
      </c>
      <c r="C105">
        <v>34389129</v>
      </c>
      <c r="D105">
        <v>7230893</v>
      </c>
      <c r="E105">
        <v>1</v>
      </c>
      <c r="F105">
        <v>1</v>
      </c>
      <c r="G105">
        <v>7157832</v>
      </c>
      <c r="H105">
        <v>2</v>
      </c>
      <c r="I105" t="s">
        <v>445</v>
      </c>
      <c r="J105" t="s">
        <v>446</v>
      </c>
      <c r="K105" t="s">
        <v>447</v>
      </c>
      <c r="L105">
        <v>1368</v>
      </c>
      <c r="N105">
        <v>1011</v>
      </c>
      <c r="O105" t="s">
        <v>211</v>
      </c>
      <c r="P105" t="s">
        <v>211</v>
      </c>
      <c r="Q105">
        <v>1</v>
      </c>
      <c r="W105">
        <v>0</v>
      </c>
      <c r="X105">
        <v>-1762689579</v>
      </c>
      <c r="Y105">
        <v>0.075</v>
      </c>
      <c r="AA105">
        <v>0</v>
      </c>
      <c r="AB105">
        <v>1021.46</v>
      </c>
      <c r="AC105">
        <v>410.09</v>
      </c>
      <c r="AD105">
        <v>0</v>
      </c>
      <c r="AE105">
        <v>0</v>
      </c>
      <c r="AF105">
        <v>106.74</v>
      </c>
      <c r="AG105">
        <v>19.2</v>
      </c>
      <c r="AH105">
        <v>0</v>
      </c>
      <c r="AI105">
        <v>1</v>
      </c>
      <c r="AJ105">
        <v>9.14</v>
      </c>
      <c r="AK105">
        <v>20.4</v>
      </c>
      <c r="AL105">
        <v>1</v>
      </c>
      <c r="AN105">
        <v>0</v>
      </c>
      <c r="AO105">
        <v>1</v>
      </c>
      <c r="AP105">
        <v>0</v>
      </c>
      <c r="AQ105">
        <v>0</v>
      </c>
      <c r="AR105">
        <v>0</v>
      </c>
      <c r="AT105">
        <v>0.075</v>
      </c>
      <c r="AV105">
        <v>0</v>
      </c>
      <c r="AW105">
        <v>2</v>
      </c>
      <c r="AX105">
        <v>34389134</v>
      </c>
      <c r="AY105">
        <v>1</v>
      </c>
      <c r="AZ105">
        <v>0</v>
      </c>
      <c r="BA105">
        <v>106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CX105">
        <f>Y105*Source!I203</f>
        <v>0.015285</v>
      </c>
      <c r="CY105">
        <f>AB105</f>
        <v>1021.46</v>
      </c>
      <c r="CZ105">
        <f>AF105</f>
        <v>106.74</v>
      </c>
      <c r="DA105">
        <f>AJ105</f>
        <v>9.14</v>
      </c>
      <c r="DB105">
        <v>0</v>
      </c>
    </row>
    <row r="106" spans="1:106" ht="12.75">
      <c r="A106">
        <f>ROW(Source!A203)</f>
        <v>203</v>
      </c>
      <c r="B106">
        <v>34388368</v>
      </c>
      <c r="C106">
        <v>34389129</v>
      </c>
      <c r="D106">
        <v>7230993</v>
      </c>
      <c r="E106">
        <v>1</v>
      </c>
      <c r="F106">
        <v>1</v>
      </c>
      <c r="G106">
        <v>7157832</v>
      </c>
      <c r="H106">
        <v>2</v>
      </c>
      <c r="I106" t="s">
        <v>454</v>
      </c>
      <c r="J106" t="s">
        <v>455</v>
      </c>
      <c r="K106" t="s">
        <v>456</v>
      </c>
      <c r="L106">
        <v>1368</v>
      </c>
      <c r="N106">
        <v>1011</v>
      </c>
      <c r="O106" t="s">
        <v>211</v>
      </c>
      <c r="P106" t="s">
        <v>211</v>
      </c>
      <c r="Q106">
        <v>1</v>
      </c>
      <c r="W106">
        <v>0</v>
      </c>
      <c r="X106">
        <v>-1025674698</v>
      </c>
      <c r="Y106">
        <v>0.075</v>
      </c>
      <c r="AA106">
        <v>0</v>
      </c>
      <c r="AB106">
        <v>1050.17</v>
      </c>
      <c r="AC106">
        <v>606.59</v>
      </c>
      <c r="AD106">
        <v>0</v>
      </c>
      <c r="AE106">
        <v>0</v>
      </c>
      <c r="AF106">
        <v>124.6</v>
      </c>
      <c r="AG106">
        <v>28.4</v>
      </c>
      <c r="AH106">
        <v>0</v>
      </c>
      <c r="AI106">
        <v>1</v>
      </c>
      <c r="AJ106">
        <v>8.05</v>
      </c>
      <c r="AK106">
        <v>20.4</v>
      </c>
      <c r="AL106">
        <v>1</v>
      </c>
      <c r="AN106">
        <v>0</v>
      </c>
      <c r="AO106">
        <v>1</v>
      </c>
      <c r="AP106">
        <v>0</v>
      </c>
      <c r="AQ106">
        <v>0</v>
      </c>
      <c r="AR106">
        <v>0</v>
      </c>
      <c r="AT106">
        <v>0.075</v>
      </c>
      <c r="AV106">
        <v>0</v>
      </c>
      <c r="AW106">
        <v>2</v>
      </c>
      <c r="AX106">
        <v>34389135</v>
      </c>
      <c r="AY106">
        <v>1</v>
      </c>
      <c r="AZ106">
        <v>0</v>
      </c>
      <c r="BA106">
        <v>107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CX106">
        <f>Y106*Source!I203</f>
        <v>0.015285</v>
      </c>
      <c r="CY106">
        <f>AB106</f>
        <v>1050.17</v>
      </c>
      <c r="CZ106">
        <f>AF106</f>
        <v>124.6</v>
      </c>
      <c r="DA106">
        <f>AJ106</f>
        <v>8.05</v>
      </c>
      <c r="DB106">
        <v>0</v>
      </c>
    </row>
    <row r="107" spans="1:106" ht="12.75">
      <c r="A107">
        <f>ROW(Source!A205)</f>
        <v>205</v>
      </c>
      <c r="B107">
        <v>34388368</v>
      </c>
      <c r="C107">
        <v>34389138</v>
      </c>
      <c r="D107">
        <v>7157835</v>
      </c>
      <c r="E107">
        <v>7157832</v>
      </c>
      <c r="F107">
        <v>1</v>
      </c>
      <c r="G107">
        <v>7157832</v>
      </c>
      <c r="H107">
        <v>1</v>
      </c>
      <c r="I107" t="s">
        <v>399</v>
      </c>
      <c r="K107" t="s">
        <v>400</v>
      </c>
      <c r="L107">
        <v>1191</v>
      </c>
      <c r="N107">
        <v>1013</v>
      </c>
      <c r="O107" t="s">
        <v>401</v>
      </c>
      <c r="P107" t="s">
        <v>401</v>
      </c>
      <c r="Q107">
        <v>1</v>
      </c>
      <c r="W107">
        <v>0</v>
      </c>
      <c r="X107">
        <v>946207192</v>
      </c>
      <c r="Y107">
        <v>4.29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1</v>
      </c>
      <c r="AJ107">
        <v>1</v>
      </c>
      <c r="AK107">
        <v>1</v>
      </c>
      <c r="AL107">
        <v>1</v>
      </c>
      <c r="AN107">
        <v>0</v>
      </c>
      <c r="AO107">
        <v>1</v>
      </c>
      <c r="AP107">
        <v>0</v>
      </c>
      <c r="AQ107">
        <v>0</v>
      </c>
      <c r="AR107">
        <v>0</v>
      </c>
      <c r="AT107">
        <v>4.29</v>
      </c>
      <c r="AV107">
        <v>1</v>
      </c>
      <c r="AW107">
        <v>2</v>
      </c>
      <c r="AX107">
        <v>34389149</v>
      </c>
      <c r="AY107">
        <v>1</v>
      </c>
      <c r="AZ107">
        <v>0</v>
      </c>
      <c r="BA107">
        <v>109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CX107">
        <f>Y107*Source!I205</f>
        <v>2.2869990000000002</v>
      </c>
      <c r="CY107">
        <f>AD107</f>
        <v>0</v>
      </c>
      <c r="CZ107">
        <f>AH107</f>
        <v>0</v>
      </c>
      <c r="DA107">
        <f>AL107</f>
        <v>1</v>
      </c>
      <c r="DB107">
        <v>0</v>
      </c>
    </row>
    <row r="108" spans="1:106" ht="12.75">
      <c r="A108">
        <f>ROW(Source!A205)</f>
        <v>205</v>
      </c>
      <c r="B108">
        <v>34388368</v>
      </c>
      <c r="C108">
        <v>34389138</v>
      </c>
      <c r="D108">
        <v>7231127</v>
      </c>
      <c r="E108">
        <v>1</v>
      </c>
      <c r="F108">
        <v>1</v>
      </c>
      <c r="G108">
        <v>7157832</v>
      </c>
      <c r="H108">
        <v>2</v>
      </c>
      <c r="I108" t="s">
        <v>442</v>
      </c>
      <c r="J108" t="s">
        <v>443</v>
      </c>
      <c r="K108" t="s">
        <v>444</v>
      </c>
      <c r="L108">
        <v>1368</v>
      </c>
      <c r="N108">
        <v>1011</v>
      </c>
      <c r="O108" t="s">
        <v>211</v>
      </c>
      <c r="P108" t="s">
        <v>211</v>
      </c>
      <c r="Q108">
        <v>1</v>
      </c>
      <c r="W108">
        <v>0</v>
      </c>
      <c r="X108">
        <v>906258752</v>
      </c>
      <c r="Y108">
        <v>0.3</v>
      </c>
      <c r="AA108">
        <v>0</v>
      </c>
      <c r="AB108">
        <v>650.9</v>
      </c>
      <c r="AC108">
        <v>394.71</v>
      </c>
      <c r="AD108">
        <v>0</v>
      </c>
      <c r="AE108">
        <v>0</v>
      </c>
      <c r="AF108">
        <v>60.77</v>
      </c>
      <c r="AG108">
        <v>18.48</v>
      </c>
      <c r="AH108">
        <v>0</v>
      </c>
      <c r="AI108">
        <v>1</v>
      </c>
      <c r="AJ108">
        <v>10.23</v>
      </c>
      <c r="AK108">
        <v>20.4</v>
      </c>
      <c r="AL108">
        <v>1</v>
      </c>
      <c r="AN108">
        <v>0</v>
      </c>
      <c r="AO108">
        <v>1</v>
      </c>
      <c r="AP108">
        <v>0</v>
      </c>
      <c r="AQ108">
        <v>0</v>
      </c>
      <c r="AR108">
        <v>0</v>
      </c>
      <c r="AT108">
        <v>0.3</v>
      </c>
      <c r="AV108">
        <v>0</v>
      </c>
      <c r="AW108">
        <v>2</v>
      </c>
      <c r="AX108">
        <v>34389150</v>
      </c>
      <c r="AY108">
        <v>1</v>
      </c>
      <c r="AZ108">
        <v>0</v>
      </c>
      <c r="BA108">
        <v>110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CX108">
        <f>Y108*Source!I205</f>
        <v>0.15993</v>
      </c>
      <c r="CY108">
        <f aca="true" t="shared" si="12" ref="CY108:CY115">AB108</f>
        <v>650.9</v>
      </c>
      <c r="CZ108">
        <f aca="true" t="shared" si="13" ref="CZ108:CZ115">AF108</f>
        <v>60.77</v>
      </c>
      <c r="DA108">
        <f aca="true" t="shared" si="14" ref="DA108:DA115">AJ108</f>
        <v>10.23</v>
      </c>
      <c r="DB108">
        <v>0</v>
      </c>
    </row>
    <row r="109" spans="1:106" ht="12.75">
      <c r="A109">
        <f>ROW(Source!A205)</f>
        <v>205</v>
      </c>
      <c r="B109">
        <v>34388368</v>
      </c>
      <c r="C109">
        <v>34389138</v>
      </c>
      <c r="D109">
        <v>7230893</v>
      </c>
      <c r="E109">
        <v>1</v>
      </c>
      <c r="F109">
        <v>1</v>
      </c>
      <c r="G109">
        <v>7157832</v>
      </c>
      <c r="H109">
        <v>2</v>
      </c>
      <c r="I109" t="s">
        <v>445</v>
      </c>
      <c r="J109" t="s">
        <v>446</v>
      </c>
      <c r="K109" t="s">
        <v>447</v>
      </c>
      <c r="L109">
        <v>1368</v>
      </c>
      <c r="N109">
        <v>1011</v>
      </c>
      <c r="O109" t="s">
        <v>211</v>
      </c>
      <c r="P109" t="s">
        <v>211</v>
      </c>
      <c r="Q109">
        <v>1</v>
      </c>
      <c r="W109">
        <v>0</v>
      </c>
      <c r="X109">
        <v>-1762689579</v>
      </c>
      <c r="Y109">
        <v>0.3</v>
      </c>
      <c r="AA109">
        <v>0</v>
      </c>
      <c r="AB109">
        <v>1021.46</v>
      </c>
      <c r="AC109">
        <v>410.09</v>
      </c>
      <c r="AD109">
        <v>0</v>
      </c>
      <c r="AE109">
        <v>0</v>
      </c>
      <c r="AF109">
        <v>106.74</v>
      </c>
      <c r="AG109">
        <v>19.2</v>
      </c>
      <c r="AH109">
        <v>0</v>
      </c>
      <c r="AI109">
        <v>1</v>
      </c>
      <c r="AJ109">
        <v>9.14</v>
      </c>
      <c r="AK109">
        <v>20.4</v>
      </c>
      <c r="AL109">
        <v>1</v>
      </c>
      <c r="AN109">
        <v>0</v>
      </c>
      <c r="AO109">
        <v>1</v>
      </c>
      <c r="AP109">
        <v>0</v>
      </c>
      <c r="AQ109">
        <v>0</v>
      </c>
      <c r="AR109">
        <v>0</v>
      </c>
      <c r="AT109">
        <v>0.3</v>
      </c>
      <c r="AV109">
        <v>0</v>
      </c>
      <c r="AW109">
        <v>2</v>
      </c>
      <c r="AX109">
        <v>34389151</v>
      </c>
      <c r="AY109">
        <v>1</v>
      </c>
      <c r="AZ109">
        <v>0</v>
      </c>
      <c r="BA109">
        <v>111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CX109">
        <f>Y109*Source!I205</f>
        <v>0.15993</v>
      </c>
      <c r="CY109">
        <f t="shared" si="12"/>
        <v>1021.46</v>
      </c>
      <c r="CZ109">
        <f t="shared" si="13"/>
        <v>106.74</v>
      </c>
      <c r="DA109">
        <f t="shared" si="14"/>
        <v>9.14</v>
      </c>
      <c r="DB109">
        <v>0</v>
      </c>
    </row>
    <row r="110" spans="1:106" ht="12.75">
      <c r="A110">
        <f>ROW(Source!A205)</f>
        <v>205</v>
      </c>
      <c r="B110">
        <v>34388368</v>
      </c>
      <c r="C110">
        <v>34389138</v>
      </c>
      <c r="D110">
        <v>7230976</v>
      </c>
      <c r="E110">
        <v>1</v>
      </c>
      <c r="F110">
        <v>1</v>
      </c>
      <c r="G110">
        <v>7157832</v>
      </c>
      <c r="H110">
        <v>2</v>
      </c>
      <c r="I110" t="s">
        <v>448</v>
      </c>
      <c r="J110" t="s">
        <v>449</v>
      </c>
      <c r="K110" t="s">
        <v>450</v>
      </c>
      <c r="L110">
        <v>1368</v>
      </c>
      <c r="N110">
        <v>1011</v>
      </c>
      <c r="O110" t="s">
        <v>211</v>
      </c>
      <c r="P110" t="s">
        <v>211</v>
      </c>
      <c r="Q110">
        <v>1</v>
      </c>
      <c r="W110">
        <v>0</v>
      </c>
      <c r="X110">
        <v>738676200</v>
      </c>
      <c r="Y110">
        <v>0.3</v>
      </c>
      <c r="AA110">
        <v>0</v>
      </c>
      <c r="AB110">
        <v>1016.39</v>
      </c>
      <c r="AC110">
        <v>611.08</v>
      </c>
      <c r="AD110">
        <v>0</v>
      </c>
      <c r="AE110">
        <v>0</v>
      </c>
      <c r="AF110">
        <v>148.89</v>
      </c>
      <c r="AG110">
        <v>28.61</v>
      </c>
      <c r="AH110">
        <v>0</v>
      </c>
      <c r="AI110">
        <v>1</v>
      </c>
      <c r="AJ110">
        <v>6.52</v>
      </c>
      <c r="AK110">
        <v>20.4</v>
      </c>
      <c r="AL110">
        <v>1</v>
      </c>
      <c r="AN110">
        <v>0</v>
      </c>
      <c r="AO110">
        <v>1</v>
      </c>
      <c r="AP110">
        <v>0</v>
      </c>
      <c r="AQ110">
        <v>0</v>
      </c>
      <c r="AR110">
        <v>0</v>
      </c>
      <c r="AT110">
        <v>0.3</v>
      </c>
      <c r="AV110">
        <v>0</v>
      </c>
      <c r="AW110">
        <v>2</v>
      </c>
      <c r="AX110">
        <v>34389152</v>
      </c>
      <c r="AY110">
        <v>1</v>
      </c>
      <c r="AZ110">
        <v>0</v>
      </c>
      <c r="BA110">
        <v>112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CX110">
        <f>Y110*Source!I205</f>
        <v>0.15993</v>
      </c>
      <c r="CY110">
        <f t="shared" si="12"/>
        <v>1016.39</v>
      </c>
      <c r="CZ110">
        <f t="shared" si="13"/>
        <v>148.89</v>
      </c>
      <c r="DA110">
        <f t="shared" si="14"/>
        <v>6.52</v>
      </c>
      <c r="DB110">
        <v>0</v>
      </c>
    </row>
    <row r="111" spans="1:106" ht="12.75">
      <c r="A111">
        <f>ROW(Source!A205)</f>
        <v>205</v>
      </c>
      <c r="B111">
        <v>34388368</v>
      </c>
      <c r="C111">
        <v>34389138</v>
      </c>
      <c r="D111">
        <v>7230978</v>
      </c>
      <c r="E111">
        <v>1</v>
      </c>
      <c r="F111">
        <v>1</v>
      </c>
      <c r="G111">
        <v>7157832</v>
      </c>
      <c r="H111">
        <v>2</v>
      </c>
      <c r="I111" t="s">
        <v>451</v>
      </c>
      <c r="J111" t="s">
        <v>452</v>
      </c>
      <c r="K111" t="s">
        <v>453</v>
      </c>
      <c r="L111">
        <v>1368</v>
      </c>
      <c r="N111">
        <v>1011</v>
      </c>
      <c r="O111" t="s">
        <v>211</v>
      </c>
      <c r="P111" t="s">
        <v>211</v>
      </c>
      <c r="Q111">
        <v>1</v>
      </c>
      <c r="W111">
        <v>0</v>
      </c>
      <c r="X111">
        <v>714527484</v>
      </c>
      <c r="Y111">
        <v>0.3</v>
      </c>
      <c r="AA111">
        <v>0</v>
      </c>
      <c r="AB111">
        <v>2785.99</v>
      </c>
      <c r="AC111">
        <v>915.22</v>
      </c>
      <c r="AD111">
        <v>0</v>
      </c>
      <c r="AE111">
        <v>0</v>
      </c>
      <c r="AF111">
        <v>249.15</v>
      </c>
      <c r="AG111">
        <v>42.85</v>
      </c>
      <c r="AH111">
        <v>0</v>
      </c>
      <c r="AI111">
        <v>1</v>
      </c>
      <c r="AJ111">
        <v>10.68</v>
      </c>
      <c r="AK111">
        <v>20.4</v>
      </c>
      <c r="AL111">
        <v>1</v>
      </c>
      <c r="AN111">
        <v>0</v>
      </c>
      <c r="AO111">
        <v>1</v>
      </c>
      <c r="AP111">
        <v>0</v>
      </c>
      <c r="AQ111">
        <v>0</v>
      </c>
      <c r="AR111">
        <v>0</v>
      </c>
      <c r="AT111">
        <v>0.3</v>
      </c>
      <c r="AV111">
        <v>0</v>
      </c>
      <c r="AW111">
        <v>2</v>
      </c>
      <c r="AX111">
        <v>34389153</v>
      </c>
      <c r="AY111">
        <v>1</v>
      </c>
      <c r="AZ111">
        <v>0</v>
      </c>
      <c r="BA111">
        <v>113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CX111">
        <f>Y111*Source!I205</f>
        <v>0.15993</v>
      </c>
      <c r="CY111">
        <f t="shared" si="12"/>
        <v>2785.99</v>
      </c>
      <c r="CZ111">
        <f t="shared" si="13"/>
        <v>249.15</v>
      </c>
      <c r="DA111">
        <f t="shared" si="14"/>
        <v>10.68</v>
      </c>
      <c r="DB111">
        <v>0</v>
      </c>
    </row>
    <row r="112" spans="1:106" ht="12.75">
      <c r="A112">
        <f>ROW(Source!A205)</f>
        <v>205</v>
      </c>
      <c r="B112">
        <v>34388368</v>
      </c>
      <c r="C112">
        <v>34389138</v>
      </c>
      <c r="D112">
        <v>7230962</v>
      </c>
      <c r="E112">
        <v>1</v>
      </c>
      <c r="F112">
        <v>1</v>
      </c>
      <c r="G112">
        <v>7157832</v>
      </c>
      <c r="H112">
        <v>2</v>
      </c>
      <c r="I112" t="s">
        <v>436</v>
      </c>
      <c r="J112" t="s">
        <v>437</v>
      </c>
      <c r="K112" t="s">
        <v>438</v>
      </c>
      <c r="L112">
        <v>1368</v>
      </c>
      <c r="N112">
        <v>1011</v>
      </c>
      <c r="O112" t="s">
        <v>211</v>
      </c>
      <c r="P112" t="s">
        <v>211</v>
      </c>
      <c r="Q112">
        <v>1</v>
      </c>
      <c r="W112">
        <v>0</v>
      </c>
      <c r="X112">
        <v>633757042</v>
      </c>
      <c r="Y112">
        <v>0.3</v>
      </c>
      <c r="AA112">
        <v>0</v>
      </c>
      <c r="AB112">
        <v>1083.44</v>
      </c>
      <c r="AC112">
        <v>488.05</v>
      </c>
      <c r="AD112">
        <v>0</v>
      </c>
      <c r="AE112">
        <v>0</v>
      </c>
      <c r="AF112">
        <v>84.82</v>
      </c>
      <c r="AG112">
        <v>22.85</v>
      </c>
      <c r="AH112">
        <v>0</v>
      </c>
      <c r="AI112">
        <v>1</v>
      </c>
      <c r="AJ112">
        <v>12.2</v>
      </c>
      <c r="AK112">
        <v>20.4</v>
      </c>
      <c r="AL112">
        <v>1</v>
      </c>
      <c r="AN112">
        <v>0</v>
      </c>
      <c r="AO112">
        <v>1</v>
      </c>
      <c r="AP112">
        <v>0</v>
      </c>
      <c r="AQ112">
        <v>0</v>
      </c>
      <c r="AR112">
        <v>0</v>
      </c>
      <c r="AT112">
        <v>0.3</v>
      </c>
      <c r="AV112">
        <v>0</v>
      </c>
      <c r="AW112">
        <v>2</v>
      </c>
      <c r="AX112">
        <v>34389154</v>
      </c>
      <c r="AY112">
        <v>1</v>
      </c>
      <c r="AZ112">
        <v>0</v>
      </c>
      <c r="BA112">
        <v>114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CX112">
        <f>Y112*Source!I205</f>
        <v>0.15993</v>
      </c>
      <c r="CY112">
        <f t="shared" si="12"/>
        <v>1083.44</v>
      </c>
      <c r="CZ112">
        <f t="shared" si="13"/>
        <v>84.82</v>
      </c>
      <c r="DA112">
        <f t="shared" si="14"/>
        <v>12.2</v>
      </c>
      <c r="DB112">
        <v>0</v>
      </c>
    </row>
    <row r="113" spans="1:106" ht="12.75">
      <c r="A113">
        <f>ROW(Source!A205)</f>
        <v>205</v>
      </c>
      <c r="B113">
        <v>34388368</v>
      </c>
      <c r="C113">
        <v>34389138</v>
      </c>
      <c r="D113">
        <v>7230993</v>
      </c>
      <c r="E113">
        <v>1</v>
      </c>
      <c r="F113">
        <v>1</v>
      </c>
      <c r="G113">
        <v>7157832</v>
      </c>
      <c r="H113">
        <v>2</v>
      </c>
      <c r="I113" t="s">
        <v>454</v>
      </c>
      <c r="J113" t="s">
        <v>455</v>
      </c>
      <c r="K113" t="s">
        <v>456</v>
      </c>
      <c r="L113">
        <v>1368</v>
      </c>
      <c r="N113">
        <v>1011</v>
      </c>
      <c r="O113" t="s">
        <v>211</v>
      </c>
      <c r="P113" t="s">
        <v>211</v>
      </c>
      <c r="Q113">
        <v>1</v>
      </c>
      <c r="W113">
        <v>0</v>
      </c>
      <c r="X113">
        <v>-1025674698</v>
      </c>
      <c r="Y113">
        <v>0.3</v>
      </c>
      <c r="AA113">
        <v>0</v>
      </c>
      <c r="AB113">
        <v>1050.17</v>
      </c>
      <c r="AC113">
        <v>606.59</v>
      </c>
      <c r="AD113">
        <v>0</v>
      </c>
      <c r="AE113">
        <v>0</v>
      </c>
      <c r="AF113">
        <v>124.6</v>
      </c>
      <c r="AG113">
        <v>28.4</v>
      </c>
      <c r="AH113">
        <v>0</v>
      </c>
      <c r="AI113">
        <v>1</v>
      </c>
      <c r="AJ113">
        <v>8.05</v>
      </c>
      <c r="AK113">
        <v>20.4</v>
      </c>
      <c r="AL113">
        <v>1</v>
      </c>
      <c r="AN113">
        <v>0</v>
      </c>
      <c r="AO113">
        <v>1</v>
      </c>
      <c r="AP113">
        <v>0</v>
      </c>
      <c r="AQ113">
        <v>0</v>
      </c>
      <c r="AR113">
        <v>0</v>
      </c>
      <c r="AT113">
        <v>0.3</v>
      </c>
      <c r="AV113">
        <v>0</v>
      </c>
      <c r="AW113">
        <v>2</v>
      </c>
      <c r="AX113">
        <v>34389155</v>
      </c>
      <c r="AY113">
        <v>1</v>
      </c>
      <c r="AZ113">
        <v>0</v>
      </c>
      <c r="BA113">
        <v>115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CX113">
        <f>Y113*Source!I205</f>
        <v>0.15993</v>
      </c>
      <c r="CY113">
        <f t="shared" si="12"/>
        <v>1050.17</v>
      </c>
      <c r="CZ113">
        <f t="shared" si="13"/>
        <v>124.6</v>
      </c>
      <c r="DA113">
        <f t="shared" si="14"/>
        <v>8.05</v>
      </c>
      <c r="DB113">
        <v>0</v>
      </c>
    </row>
    <row r="114" spans="1:106" ht="12.75">
      <c r="A114">
        <f>ROW(Source!A205)</f>
        <v>205</v>
      </c>
      <c r="B114">
        <v>34388368</v>
      </c>
      <c r="C114">
        <v>34389138</v>
      </c>
      <c r="D114">
        <v>7230966</v>
      </c>
      <c r="E114">
        <v>1</v>
      </c>
      <c r="F114">
        <v>1</v>
      </c>
      <c r="G114">
        <v>7157832</v>
      </c>
      <c r="H114">
        <v>2</v>
      </c>
      <c r="I114" t="s">
        <v>457</v>
      </c>
      <c r="J114" t="s">
        <v>458</v>
      </c>
      <c r="K114" t="s">
        <v>459</v>
      </c>
      <c r="L114">
        <v>1368</v>
      </c>
      <c r="N114">
        <v>1011</v>
      </c>
      <c r="O114" t="s">
        <v>211</v>
      </c>
      <c r="P114" t="s">
        <v>211</v>
      </c>
      <c r="Q114">
        <v>1</v>
      </c>
      <c r="W114">
        <v>0</v>
      </c>
      <c r="X114">
        <v>-848822828</v>
      </c>
      <c r="Y114">
        <v>0.3</v>
      </c>
      <c r="AA114">
        <v>0</v>
      </c>
      <c r="AB114">
        <v>1152.31</v>
      </c>
      <c r="AC114">
        <v>495.1</v>
      </c>
      <c r="AD114">
        <v>0</v>
      </c>
      <c r="AE114">
        <v>0</v>
      </c>
      <c r="AF114">
        <v>88.4</v>
      </c>
      <c r="AG114">
        <v>23.18</v>
      </c>
      <c r="AH114">
        <v>0</v>
      </c>
      <c r="AI114">
        <v>1</v>
      </c>
      <c r="AJ114">
        <v>12.45</v>
      </c>
      <c r="AK114">
        <v>20.4</v>
      </c>
      <c r="AL114">
        <v>1</v>
      </c>
      <c r="AN114">
        <v>0</v>
      </c>
      <c r="AO114">
        <v>1</v>
      </c>
      <c r="AP114">
        <v>0</v>
      </c>
      <c r="AQ114">
        <v>0</v>
      </c>
      <c r="AR114">
        <v>0</v>
      </c>
      <c r="AT114">
        <v>0.3</v>
      </c>
      <c r="AV114">
        <v>0</v>
      </c>
      <c r="AW114">
        <v>2</v>
      </c>
      <c r="AX114">
        <v>34389156</v>
      </c>
      <c r="AY114">
        <v>1</v>
      </c>
      <c r="AZ114">
        <v>0</v>
      </c>
      <c r="BA114">
        <v>116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CX114">
        <f>Y114*Source!I205</f>
        <v>0.15993</v>
      </c>
      <c r="CY114">
        <f t="shared" si="12"/>
        <v>1152.31</v>
      </c>
      <c r="CZ114">
        <f t="shared" si="13"/>
        <v>88.4</v>
      </c>
      <c r="DA114">
        <f t="shared" si="14"/>
        <v>12.45</v>
      </c>
      <c r="DB114">
        <v>0</v>
      </c>
    </row>
    <row r="115" spans="1:106" ht="12.75">
      <c r="A115">
        <f>ROW(Source!A205)</f>
        <v>205</v>
      </c>
      <c r="B115">
        <v>34388368</v>
      </c>
      <c r="C115">
        <v>34389138</v>
      </c>
      <c r="D115">
        <v>7230967</v>
      </c>
      <c r="E115">
        <v>1</v>
      </c>
      <c r="F115">
        <v>1</v>
      </c>
      <c r="G115">
        <v>7157832</v>
      </c>
      <c r="H115">
        <v>2</v>
      </c>
      <c r="I115" t="s">
        <v>427</v>
      </c>
      <c r="J115" t="s">
        <v>428</v>
      </c>
      <c r="K115" t="s">
        <v>429</v>
      </c>
      <c r="L115">
        <v>1368</v>
      </c>
      <c r="N115">
        <v>1011</v>
      </c>
      <c r="O115" t="s">
        <v>211</v>
      </c>
      <c r="P115" t="s">
        <v>211</v>
      </c>
      <c r="Q115">
        <v>1</v>
      </c>
      <c r="W115">
        <v>0</v>
      </c>
      <c r="X115">
        <v>-729676069</v>
      </c>
      <c r="Y115">
        <v>0.9</v>
      </c>
      <c r="AA115">
        <v>0</v>
      </c>
      <c r="AB115">
        <v>1731.53</v>
      </c>
      <c r="AC115">
        <v>501.93</v>
      </c>
      <c r="AD115">
        <v>0</v>
      </c>
      <c r="AE115">
        <v>0</v>
      </c>
      <c r="AF115">
        <v>178.02</v>
      </c>
      <c r="AG115">
        <v>23.5</v>
      </c>
      <c r="AH115">
        <v>0</v>
      </c>
      <c r="AI115">
        <v>1</v>
      </c>
      <c r="AJ115">
        <v>9.29</v>
      </c>
      <c r="AK115">
        <v>20.4</v>
      </c>
      <c r="AL115">
        <v>1</v>
      </c>
      <c r="AN115">
        <v>0</v>
      </c>
      <c r="AO115">
        <v>1</v>
      </c>
      <c r="AP115">
        <v>0</v>
      </c>
      <c r="AQ115">
        <v>0</v>
      </c>
      <c r="AR115">
        <v>0</v>
      </c>
      <c r="AT115">
        <v>0.9</v>
      </c>
      <c r="AV115">
        <v>0</v>
      </c>
      <c r="AW115">
        <v>2</v>
      </c>
      <c r="AX115">
        <v>34389157</v>
      </c>
      <c r="AY115">
        <v>1</v>
      </c>
      <c r="AZ115">
        <v>0</v>
      </c>
      <c r="BA115">
        <v>117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CX115">
        <f>Y115*Source!I205</f>
        <v>0.47979000000000005</v>
      </c>
      <c r="CY115">
        <f t="shared" si="12"/>
        <v>1731.53</v>
      </c>
      <c r="CZ115">
        <f t="shared" si="13"/>
        <v>178.02</v>
      </c>
      <c r="DA115">
        <f t="shared" si="14"/>
        <v>9.29</v>
      </c>
      <c r="DB115">
        <v>0</v>
      </c>
    </row>
    <row r="116" spans="1:106" ht="12.75">
      <c r="A116">
        <f>ROW(Source!A205)</f>
        <v>205</v>
      </c>
      <c r="B116">
        <v>34388368</v>
      </c>
      <c r="C116">
        <v>34389138</v>
      </c>
      <c r="D116">
        <v>7235091</v>
      </c>
      <c r="E116">
        <v>1</v>
      </c>
      <c r="F116">
        <v>1</v>
      </c>
      <c r="G116">
        <v>7157832</v>
      </c>
      <c r="H116">
        <v>3</v>
      </c>
      <c r="I116" t="s">
        <v>460</v>
      </c>
      <c r="J116" t="s">
        <v>461</v>
      </c>
      <c r="K116" t="s">
        <v>462</v>
      </c>
      <c r="L116">
        <v>1348</v>
      </c>
      <c r="N116">
        <v>1009</v>
      </c>
      <c r="O116" t="s">
        <v>265</v>
      </c>
      <c r="P116" t="s">
        <v>265</v>
      </c>
      <c r="Q116">
        <v>1000</v>
      </c>
      <c r="W116">
        <v>0</v>
      </c>
      <c r="X116">
        <v>-1274242938</v>
      </c>
      <c r="Y116">
        <v>0.04</v>
      </c>
      <c r="AA116">
        <v>12955</v>
      </c>
      <c r="AB116">
        <v>0</v>
      </c>
      <c r="AC116">
        <v>0</v>
      </c>
      <c r="AD116">
        <v>0</v>
      </c>
      <c r="AE116">
        <v>1445.87</v>
      </c>
      <c r="AF116">
        <v>0</v>
      </c>
      <c r="AG116">
        <v>0</v>
      </c>
      <c r="AH116">
        <v>0</v>
      </c>
      <c r="AI116">
        <v>8.96</v>
      </c>
      <c r="AJ116">
        <v>1</v>
      </c>
      <c r="AK116">
        <v>1</v>
      </c>
      <c r="AL116">
        <v>1</v>
      </c>
      <c r="AN116">
        <v>0</v>
      </c>
      <c r="AO116">
        <v>1</v>
      </c>
      <c r="AP116">
        <v>0</v>
      </c>
      <c r="AQ116">
        <v>0</v>
      </c>
      <c r="AR116">
        <v>0</v>
      </c>
      <c r="AT116">
        <v>0.04</v>
      </c>
      <c r="AV116">
        <v>0</v>
      </c>
      <c r="AW116">
        <v>2</v>
      </c>
      <c r="AX116">
        <v>34389158</v>
      </c>
      <c r="AY116">
        <v>1</v>
      </c>
      <c r="AZ116">
        <v>0</v>
      </c>
      <c r="BA116">
        <v>118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CX116">
        <f>Y116*Source!I205</f>
        <v>0.021324000000000003</v>
      </c>
      <c r="CY116">
        <f>AA116</f>
        <v>12955</v>
      </c>
      <c r="CZ116">
        <f>AE116</f>
        <v>1445.87</v>
      </c>
      <c r="DA116">
        <f>AI116</f>
        <v>8.96</v>
      </c>
      <c r="DB116">
        <v>0</v>
      </c>
    </row>
    <row r="117" spans="1:106" ht="12.75">
      <c r="A117">
        <f>ROW(Source!A238)</f>
        <v>238</v>
      </c>
      <c r="B117">
        <v>34388368</v>
      </c>
      <c r="C117">
        <v>34389734</v>
      </c>
      <c r="D117">
        <v>7157835</v>
      </c>
      <c r="E117">
        <v>7157832</v>
      </c>
      <c r="F117">
        <v>1</v>
      </c>
      <c r="G117">
        <v>7157832</v>
      </c>
      <c r="H117">
        <v>1</v>
      </c>
      <c r="I117" t="s">
        <v>399</v>
      </c>
      <c r="K117" t="s">
        <v>400</v>
      </c>
      <c r="L117">
        <v>1191</v>
      </c>
      <c r="N117">
        <v>1013</v>
      </c>
      <c r="O117" t="s">
        <v>401</v>
      </c>
      <c r="P117" t="s">
        <v>401</v>
      </c>
      <c r="Q117">
        <v>1</v>
      </c>
      <c r="W117">
        <v>0</v>
      </c>
      <c r="X117">
        <v>946207192</v>
      </c>
      <c r="Y117">
        <v>221.60499999999996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1</v>
      </c>
      <c r="AJ117">
        <v>1</v>
      </c>
      <c r="AK117">
        <v>1</v>
      </c>
      <c r="AL117">
        <v>1</v>
      </c>
      <c r="AN117">
        <v>0</v>
      </c>
      <c r="AO117">
        <v>1</v>
      </c>
      <c r="AP117">
        <v>1</v>
      </c>
      <c r="AQ117">
        <v>0</v>
      </c>
      <c r="AR117">
        <v>0</v>
      </c>
      <c r="AT117">
        <v>192.7</v>
      </c>
      <c r="AU117" t="s">
        <v>27</v>
      </c>
      <c r="AV117">
        <v>1</v>
      </c>
      <c r="AW117">
        <v>2</v>
      </c>
      <c r="AX117">
        <v>34389736</v>
      </c>
      <c r="AY117">
        <v>1</v>
      </c>
      <c r="AZ117">
        <v>0</v>
      </c>
      <c r="BA117">
        <v>120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CX117">
        <f>Y117*Source!I238</f>
        <v>79.77779999999998</v>
      </c>
      <c r="CY117">
        <f>AD117</f>
        <v>0</v>
      </c>
      <c r="CZ117">
        <f>AH117</f>
        <v>0</v>
      </c>
      <c r="DA117">
        <f>AL117</f>
        <v>1</v>
      </c>
      <c r="DB117">
        <v>0</v>
      </c>
    </row>
    <row r="118" spans="1:106" ht="12.75">
      <c r="A118">
        <f>ROW(Source!A239)</f>
        <v>239</v>
      </c>
      <c r="B118">
        <v>34388368</v>
      </c>
      <c r="C118">
        <v>34389737</v>
      </c>
      <c r="D118">
        <v>7157835</v>
      </c>
      <c r="E118">
        <v>7157832</v>
      </c>
      <c r="F118">
        <v>1</v>
      </c>
      <c r="G118">
        <v>7157832</v>
      </c>
      <c r="H118">
        <v>1</v>
      </c>
      <c r="I118" t="s">
        <v>399</v>
      </c>
      <c r="K118" t="s">
        <v>400</v>
      </c>
      <c r="L118">
        <v>1191</v>
      </c>
      <c r="N118">
        <v>1013</v>
      </c>
      <c r="O118" t="s">
        <v>401</v>
      </c>
      <c r="P118" t="s">
        <v>401</v>
      </c>
      <c r="Q118">
        <v>1</v>
      </c>
      <c r="W118">
        <v>0</v>
      </c>
      <c r="X118">
        <v>946207192</v>
      </c>
      <c r="Y118">
        <v>0.3105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1</v>
      </c>
      <c r="AJ118">
        <v>1</v>
      </c>
      <c r="AK118">
        <v>1</v>
      </c>
      <c r="AL118">
        <v>1</v>
      </c>
      <c r="AN118">
        <v>0</v>
      </c>
      <c r="AO118">
        <v>1</v>
      </c>
      <c r="AP118">
        <v>1</v>
      </c>
      <c r="AQ118">
        <v>0</v>
      </c>
      <c r="AR118">
        <v>0</v>
      </c>
      <c r="AT118">
        <v>0.27</v>
      </c>
      <c r="AU118" t="s">
        <v>27</v>
      </c>
      <c r="AV118">
        <v>1</v>
      </c>
      <c r="AW118">
        <v>2</v>
      </c>
      <c r="AX118">
        <v>34389740</v>
      </c>
      <c r="AY118">
        <v>1</v>
      </c>
      <c r="AZ118">
        <v>0</v>
      </c>
      <c r="BA118">
        <v>121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CX118">
        <f>Y118*Source!I239</f>
        <v>0.9315</v>
      </c>
      <c r="CY118">
        <f>AD118</f>
        <v>0</v>
      </c>
      <c r="CZ118">
        <f>AH118</f>
        <v>0</v>
      </c>
      <c r="DA118">
        <f>AL118</f>
        <v>1</v>
      </c>
      <c r="DB118">
        <v>0</v>
      </c>
    </row>
    <row r="119" spans="1:106" ht="12.75">
      <c r="A119">
        <f>ROW(Source!A239)</f>
        <v>239</v>
      </c>
      <c r="B119">
        <v>34388368</v>
      </c>
      <c r="C119">
        <v>34389737</v>
      </c>
      <c r="D119">
        <v>7231390</v>
      </c>
      <c r="E119">
        <v>1</v>
      </c>
      <c r="F119">
        <v>1</v>
      </c>
      <c r="G119">
        <v>7157832</v>
      </c>
      <c r="H119">
        <v>2</v>
      </c>
      <c r="I119" t="s">
        <v>474</v>
      </c>
      <c r="J119" t="s">
        <v>475</v>
      </c>
      <c r="K119" t="s">
        <v>476</v>
      </c>
      <c r="L119">
        <v>1368</v>
      </c>
      <c r="N119">
        <v>1011</v>
      </c>
      <c r="O119" t="s">
        <v>211</v>
      </c>
      <c r="P119" t="s">
        <v>211</v>
      </c>
      <c r="Q119">
        <v>1</v>
      </c>
      <c r="W119">
        <v>0</v>
      </c>
      <c r="X119">
        <v>-895672608</v>
      </c>
      <c r="Y119">
        <v>0.322</v>
      </c>
      <c r="AA119">
        <v>0</v>
      </c>
      <c r="AB119">
        <v>5503.64</v>
      </c>
      <c r="AC119">
        <v>1242.87</v>
      </c>
      <c r="AD119">
        <v>0</v>
      </c>
      <c r="AE119">
        <v>0</v>
      </c>
      <c r="AF119">
        <v>942.04</v>
      </c>
      <c r="AG119">
        <v>58.19</v>
      </c>
      <c r="AH119">
        <v>0</v>
      </c>
      <c r="AI119">
        <v>1</v>
      </c>
      <c r="AJ119">
        <v>5.58</v>
      </c>
      <c r="AK119">
        <v>20.4</v>
      </c>
      <c r="AL119">
        <v>1</v>
      </c>
      <c r="AN119">
        <v>0</v>
      </c>
      <c r="AO119">
        <v>1</v>
      </c>
      <c r="AP119">
        <v>1</v>
      </c>
      <c r="AQ119">
        <v>0</v>
      </c>
      <c r="AR119">
        <v>0</v>
      </c>
      <c r="AT119">
        <v>0.28</v>
      </c>
      <c r="AU119" t="s">
        <v>27</v>
      </c>
      <c r="AV119">
        <v>0</v>
      </c>
      <c r="AW119">
        <v>2</v>
      </c>
      <c r="AX119">
        <v>34389741</v>
      </c>
      <c r="AY119">
        <v>1</v>
      </c>
      <c r="AZ119">
        <v>0</v>
      </c>
      <c r="BA119">
        <v>122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CX119">
        <f>Y119*Source!I239</f>
        <v>0.966</v>
      </c>
      <c r="CY119">
        <f>AB119</f>
        <v>5503.64</v>
      </c>
      <c r="CZ119">
        <f>AF119</f>
        <v>942.04</v>
      </c>
      <c r="DA119">
        <f>AJ119</f>
        <v>5.58</v>
      </c>
      <c r="DB119">
        <v>0</v>
      </c>
    </row>
    <row r="120" spans="1:106" ht="12.75">
      <c r="A120">
        <f>ROW(Source!A240)</f>
        <v>240</v>
      </c>
      <c r="B120">
        <v>34388368</v>
      </c>
      <c r="C120">
        <v>34389742</v>
      </c>
      <c r="D120">
        <v>7157835</v>
      </c>
      <c r="E120">
        <v>7157832</v>
      </c>
      <c r="F120">
        <v>1</v>
      </c>
      <c r="G120">
        <v>7157832</v>
      </c>
      <c r="H120">
        <v>1</v>
      </c>
      <c r="I120" t="s">
        <v>399</v>
      </c>
      <c r="K120" t="s">
        <v>400</v>
      </c>
      <c r="L120">
        <v>1191</v>
      </c>
      <c r="N120">
        <v>1013</v>
      </c>
      <c r="O120" t="s">
        <v>401</v>
      </c>
      <c r="P120" t="s">
        <v>401</v>
      </c>
      <c r="Q120">
        <v>1</v>
      </c>
      <c r="W120">
        <v>0</v>
      </c>
      <c r="X120">
        <v>946207192</v>
      </c>
      <c r="Y120">
        <v>1.518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1</v>
      </c>
      <c r="AJ120">
        <v>1</v>
      </c>
      <c r="AK120">
        <v>1</v>
      </c>
      <c r="AL120">
        <v>1</v>
      </c>
      <c r="AN120">
        <v>0</v>
      </c>
      <c r="AO120">
        <v>1</v>
      </c>
      <c r="AP120">
        <v>1</v>
      </c>
      <c r="AQ120">
        <v>0</v>
      </c>
      <c r="AR120">
        <v>0</v>
      </c>
      <c r="AT120">
        <v>1.32</v>
      </c>
      <c r="AU120" t="s">
        <v>27</v>
      </c>
      <c r="AV120">
        <v>1</v>
      </c>
      <c r="AW120">
        <v>2</v>
      </c>
      <c r="AX120">
        <v>34389754</v>
      </c>
      <c r="AY120">
        <v>1</v>
      </c>
      <c r="AZ120">
        <v>0</v>
      </c>
      <c r="BA120">
        <v>123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CX120">
        <f>Y120*Source!I240</f>
        <v>2106.984</v>
      </c>
      <c r="CY120">
        <f>AD120</f>
        <v>0</v>
      </c>
      <c r="CZ120">
        <f>AH120</f>
        <v>0</v>
      </c>
      <c r="DA120">
        <f>AL120</f>
        <v>1</v>
      </c>
      <c r="DB120">
        <v>0</v>
      </c>
    </row>
    <row r="121" spans="1:106" ht="12.75">
      <c r="A121">
        <f>ROW(Source!A240)</f>
        <v>240</v>
      </c>
      <c r="B121">
        <v>34388368</v>
      </c>
      <c r="C121">
        <v>34389742</v>
      </c>
      <c r="D121">
        <v>9198927</v>
      </c>
      <c r="E121">
        <v>1</v>
      </c>
      <c r="F121">
        <v>1</v>
      </c>
      <c r="G121">
        <v>7157832</v>
      </c>
      <c r="H121">
        <v>2</v>
      </c>
      <c r="I121" t="s">
        <v>477</v>
      </c>
      <c r="J121" t="s">
        <v>478</v>
      </c>
      <c r="K121" t="s">
        <v>479</v>
      </c>
      <c r="L121">
        <v>1368</v>
      </c>
      <c r="N121">
        <v>1011</v>
      </c>
      <c r="O121" t="s">
        <v>211</v>
      </c>
      <c r="P121" t="s">
        <v>211</v>
      </c>
      <c r="Q121">
        <v>1</v>
      </c>
      <c r="W121">
        <v>0</v>
      </c>
      <c r="X121">
        <v>-597075399</v>
      </c>
      <c r="Y121">
        <v>0.057499999999999996</v>
      </c>
      <c r="AA121">
        <v>0</v>
      </c>
      <c r="AB121">
        <v>402.64</v>
      </c>
      <c r="AC121">
        <v>320.38</v>
      </c>
      <c r="AD121">
        <v>0</v>
      </c>
      <c r="AE121">
        <v>0</v>
      </c>
      <c r="AF121">
        <v>50.27</v>
      </c>
      <c r="AG121">
        <v>15</v>
      </c>
      <c r="AH121">
        <v>0</v>
      </c>
      <c r="AI121">
        <v>1</v>
      </c>
      <c r="AJ121">
        <v>7.65</v>
      </c>
      <c r="AK121">
        <v>20.4</v>
      </c>
      <c r="AL121">
        <v>1</v>
      </c>
      <c r="AN121">
        <v>0</v>
      </c>
      <c r="AO121">
        <v>1</v>
      </c>
      <c r="AP121">
        <v>1</v>
      </c>
      <c r="AQ121">
        <v>0</v>
      </c>
      <c r="AR121">
        <v>0</v>
      </c>
      <c r="AT121">
        <v>0.05</v>
      </c>
      <c r="AU121" t="s">
        <v>27</v>
      </c>
      <c r="AV121">
        <v>0</v>
      </c>
      <c r="AW121">
        <v>2</v>
      </c>
      <c r="AX121">
        <v>34389755</v>
      </c>
      <c r="AY121">
        <v>1</v>
      </c>
      <c r="AZ121">
        <v>0</v>
      </c>
      <c r="BA121">
        <v>124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CX121">
        <f>Y121*Source!I240</f>
        <v>79.80999999999999</v>
      </c>
      <c r="CY121">
        <f aca="true" t="shared" si="15" ref="CY121:CY127">AB121</f>
        <v>402.64</v>
      </c>
      <c r="CZ121">
        <f aca="true" t="shared" si="16" ref="CZ121:CZ127">AF121</f>
        <v>50.27</v>
      </c>
      <c r="DA121">
        <f aca="true" t="shared" si="17" ref="DA121:DA127">AJ121</f>
        <v>7.65</v>
      </c>
      <c r="DB121">
        <v>0</v>
      </c>
    </row>
    <row r="122" spans="1:106" ht="12.75">
      <c r="A122">
        <f>ROW(Source!A240)</f>
        <v>240</v>
      </c>
      <c r="B122">
        <v>34388368</v>
      </c>
      <c r="C122">
        <v>34389742</v>
      </c>
      <c r="D122">
        <v>7231349</v>
      </c>
      <c r="E122">
        <v>1</v>
      </c>
      <c r="F122">
        <v>1</v>
      </c>
      <c r="G122">
        <v>7157832</v>
      </c>
      <c r="H122">
        <v>2</v>
      </c>
      <c r="I122" t="s">
        <v>480</v>
      </c>
      <c r="J122" t="s">
        <v>481</v>
      </c>
      <c r="K122" t="s">
        <v>482</v>
      </c>
      <c r="L122">
        <v>1368</v>
      </c>
      <c r="N122">
        <v>1011</v>
      </c>
      <c r="O122" t="s">
        <v>211</v>
      </c>
      <c r="P122" t="s">
        <v>211</v>
      </c>
      <c r="Q122">
        <v>1</v>
      </c>
      <c r="W122">
        <v>0</v>
      </c>
      <c r="X122">
        <v>-25500714</v>
      </c>
      <c r="Y122">
        <v>0.046</v>
      </c>
      <c r="AA122">
        <v>0</v>
      </c>
      <c r="AB122">
        <v>2062.48</v>
      </c>
      <c r="AC122">
        <v>477.58</v>
      </c>
      <c r="AD122">
        <v>0</v>
      </c>
      <c r="AE122">
        <v>0</v>
      </c>
      <c r="AF122">
        <v>199.18</v>
      </c>
      <c r="AG122">
        <v>22.36</v>
      </c>
      <c r="AH122">
        <v>0</v>
      </c>
      <c r="AI122">
        <v>1</v>
      </c>
      <c r="AJ122">
        <v>9.89</v>
      </c>
      <c r="AK122">
        <v>20.4</v>
      </c>
      <c r="AL122">
        <v>1</v>
      </c>
      <c r="AN122">
        <v>0</v>
      </c>
      <c r="AO122">
        <v>1</v>
      </c>
      <c r="AP122">
        <v>1</v>
      </c>
      <c r="AQ122">
        <v>0</v>
      </c>
      <c r="AR122">
        <v>0</v>
      </c>
      <c r="AT122">
        <v>0.04</v>
      </c>
      <c r="AU122" t="s">
        <v>27</v>
      </c>
      <c r="AV122">
        <v>0</v>
      </c>
      <c r="AW122">
        <v>2</v>
      </c>
      <c r="AX122">
        <v>34389756</v>
      </c>
      <c r="AY122">
        <v>1</v>
      </c>
      <c r="AZ122">
        <v>0</v>
      </c>
      <c r="BA122">
        <v>125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CX122">
        <f>Y122*Source!I240</f>
        <v>63.848</v>
      </c>
      <c r="CY122">
        <f t="shared" si="15"/>
        <v>2062.48</v>
      </c>
      <c r="CZ122">
        <f t="shared" si="16"/>
        <v>199.18</v>
      </c>
      <c r="DA122">
        <f t="shared" si="17"/>
        <v>9.89</v>
      </c>
      <c r="DB122">
        <v>0</v>
      </c>
    </row>
    <row r="123" spans="1:106" ht="12.75">
      <c r="A123">
        <f>ROW(Source!A240)</f>
        <v>240</v>
      </c>
      <c r="B123">
        <v>34388368</v>
      </c>
      <c r="C123">
        <v>34389742</v>
      </c>
      <c r="D123">
        <v>7231390</v>
      </c>
      <c r="E123">
        <v>1</v>
      </c>
      <c r="F123">
        <v>1</v>
      </c>
      <c r="G123">
        <v>7157832</v>
      </c>
      <c r="H123">
        <v>2</v>
      </c>
      <c r="I123" t="s">
        <v>474</v>
      </c>
      <c r="J123" t="s">
        <v>475</v>
      </c>
      <c r="K123" t="s">
        <v>476</v>
      </c>
      <c r="L123">
        <v>1368</v>
      </c>
      <c r="N123">
        <v>1011</v>
      </c>
      <c r="O123" t="s">
        <v>211</v>
      </c>
      <c r="P123" t="s">
        <v>211</v>
      </c>
      <c r="Q123">
        <v>1</v>
      </c>
      <c r="W123">
        <v>0</v>
      </c>
      <c r="X123">
        <v>-895672608</v>
      </c>
      <c r="Y123">
        <v>0.6784999999999999</v>
      </c>
      <c r="AA123">
        <v>0</v>
      </c>
      <c r="AB123">
        <v>5503.64</v>
      </c>
      <c r="AC123">
        <v>1242.87</v>
      </c>
      <c r="AD123">
        <v>0</v>
      </c>
      <c r="AE123">
        <v>0</v>
      </c>
      <c r="AF123">
        <v>942.04</v>
      </c>
      <c r="AG123">
        <v>58.19</v>
      </c>
      <c r="AH123">
        <v>0</v>
      </c>
      <c r="AI123">
        <v>1</v>
      </c>
      <c r="AJ123">
        <v>5.58</v>
      </c>
      <c r="AK123">
        <v>20.4</v>
      </c>
      <c r="AL123">
        <v>1</v>
      </c>
      <c r="AN123">
        <v>0</v>
      </c>
      <c r="AO123">
        <v>1</v>
      </c>
      <c r="AP123">
        <v>1</v>
      </c>
      <c r="AQ123">
        <v>0</v>
      </c>
      <c r="AR123">
        <v>0</v>
      </c>
      <c r="AT123">
        <v>0.59</v>
      </c>
      <c r="AU123" t="s">
        <v>27</v>
      </c>
      <c r="AV123">
        <v>0</v>
      </c>
      <c r="AW123">
        <v>2</v>
      </c>
      <c r="AX123">
        <v>34389757</v>
      </c>
      <c r="AY123">
        <v>1</v>
      </c>
      <c r="AZ123">
        <v>0</v>
      </c>
      <c r="BA123">
        <v>126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CX123">
        <f>Y123*Source!I240</f>
        <v>941.7579999999998</v>
      </c>
      <c r="CY123">
        <f t="shared" si="15"/>
        <v>5503.64</v>
      </c>
      <c r="CZ123">
        <f t="shared" si="16"/>
        <v>942.04</v>
      </c>
      <c r="DA123">
        <f t="shared" si="17"/>
        <v>5.58</v>
      </c>
      <c r="DB123">
        <v>0</v>
      </c>
    </row>
    <row r="124" spans="1:106" ht="12.75">
      <c r="A124">
        <f>ROW(Source!A240)</f>
        <v>240</v>
      </c>
      <c r="B124">
        <v>34388368</v>
      </c>
      <c r="C124">
        <v>34389742</v>
      </c>
      <c r="D124">
        <v>7231434</v>
      </c>
      <c r="E124">
        <v>1</v>
      </c>
      <c r="F124">
        <v>1</v>
      </c>
      <c r="G124">
        <v>7157832</v>
      </c>
      <c r="H124">
        <v>2</v>
      </c>
      <c r="I124" t="s">
        <v>483</v>
      </c>
      <c r="J124" t="s">
        <v>484</v>
      </c>
      <c r="K124" t="s">
        <v>485</v>
      </c>
      <c r="L124">
        <v>1368</v>
      </c>
      <c r="N124">
        <v>1011</v>
      </c>
      <c r="O124" t="s">
        <v>211</v>
      </c>
      <c r="P124" t="s">
        <v>211</v>
      </c>
      <c r="Q124">
        <v>1</v>
      </c>
      <c r="W124">
        <v>0</v>
      </c>
      <c r="X124">
        <v>33467196</v>
      </c>
      <c r="Y124">
        <v>0.0046</v>
      </c>
      <c r="AA124">
        <v>0</v>
      </c>
      <c r="AB124">
        <v>512.27</v>
      </c>
      <c r="AC124">
        <v>165.32</v>
      </c>
      <c r="AD124">
        <v>0</v>
      </c>
      <c r="AE124">
        <v>0</v>
      </c>
      <c r="AF124">
        <v>64.89</v>
      </c>
      <c r="AG124">
        <v>7.74</v>
      </c>
      <c r="AH124">
        <v>0</v>
      </c>
      <c r="AI124">
        <v>1</v>
      </c>
      <c r="AJ124">
        <v>7.54</v>
      </c>
      <c r="AK124">
        <v>20.4</v>
      </c>
      <c r="AL124">
        <v>1</v>
      </c>
      <c r="AN124">
        <v>0</v>
      </c>
      <c r="AO124">
        <v>1</v>
      </c>
      <c r="AP124">
        <v>1</v>
      </c>
      <c r="AQ124">
        <v>0</v>
      </c>
      <c r="AR124">
        <v>0</v>
      </c>
      <c r="AT124">
        <v>0.004</v>
      </c>
      <c r="AU124" t="s">
        <v>27</v>
      </c>
      <c r="AV124">
        <v>0</v>
      </c>
      <c r="AW124">
        <v>2</v>
      </c>
      <c r="AX124">
        <v>34389758</v>
      </c>
      <c r="AY124">
        <v>1</v>
      </c>
      <c r="AZ124">
        <v>0</v>
      </c>
      <c r="BA124">
        <v>127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CX124">
        <f>Y124*Source!I240</f>
        <v>6.3848</v>
      </c>
      <c r="CY124">
        <f t="shared" si="15"/>
        <v>512.27</v>
      </c>
      <c r="CZ124">
        <f t="shared" si="16"/>
        <v>64.89</v>
      </c>
      <c r="DA124">
        <f t="shared" si="17"/>
        <v>7.54</v>
      </c>
      <c r="DB124">
        <v>0</v>
      </c>
    </row>
    <row r="125" spans="1:106" ht="12.75">
      <c r="A125">
        <f>ROW(Source!A240)</f>
        <v>240</v>
      </c>
      <c r="B125">
        <v>34388368</v>
      </c>
      <c r="C125">
        <v>34389742</v>
      </c>
      <c r="D125">
        <v>7230838</v>
      </c>
      <c r="E125">
        <v>1</v>
      </c>
      <c r="F125">
        <v>1</v>
      </c>
      <c r="G125">
        <v>7157832</v>
      </c>
      <c r="H125">
        <v>2</v>
      </c>
      <c r="I125" t="s">
        <v>486</v>
      </c>
      <c r="J125" t="s">
        <v>487</v>
      </c>
      <c r="K125" t="s">
        <v>488</v>
      </c>
      <c r="L125">
        <v>1368</v>
      </c>
      <c r="N125">
        <v>1011</v>
      </c>
      <c r="O125" t="s">
        <v>211</v>
      </c>
      <c r="P125" t="s">
        <v>211</v>
      </c>
      <c r="Q125">
        <v>1</v>
      </c>
      <c r="W125">
        <v>0</v>
      </c>
      <c r="X125">
        <v>-1510638824</v>
      </c>
      <c r="Y125">
        <v>0.33349999999999996</v>
      </c>
      <c r="AA125">
        <v>0</v>
      </c>
      <c r="AB125">
        <v>1527.5</v>
      </c>
      <c r="AC125">
        <v>616.2</v>
      </c>
      <c r="AD125">
        <v>0</v>
      </c>
      <c r="AE125">
        <v>0</v>
      </c>
      <c r="AF125">
        <v>147.07</v>
      </c>
      <c r="AG125">
        <v>28.85</v>
      </c>
      <c r="AH125">
        <v>0</v>
      </c>
      <c r="AI125">
        <v>1</v>
      </c>
      <c r="AJ125">
        <v>9.92</v>
      </c>
      <c r="AK125">
        <v>20.4</v>
      </c>
      <c r="AL125">
        <v>1</v>
      </c>
      <c r="AN125">
        <v>0</v>
      </c>
      <c r="AO125">
        <v>1</v>
      </c>
      <c r="AP125">
        <v>1</v>
      </c>
      <c r="AQ125">
        <v>0</v>
      </c>
      <c r="AR125">
        <v>0</v>
      </c>
      <c r="AT125">
        <v>0.29</v>
      </c>
      <c r="AU125" t="s">
        <v>27</v>
      </c>
      <c r="AV125">
        <v>0</v>
      </c>
      <c r="AW125">
        <v>2</v>
      </c>
      <c r="AX125">
        <v>34389759</v>
      </c>
      <c r="AY125">
        <v>1</v>
      </c>
      <c r="AZ125">
        <v>0</v>
      </c>
      <c r="BA125">
        <v>128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CX125">
        <f>Y125*Source!I240</f>
        <v>462.89799999999997</v>
      </c>
      <c r="CY125">
        <f t="shared" si="15"/>
        <v>1527.5</v>
      </c>
      <c r="CZ125">
        <f t="shared" si="16"/>
        <v>147.07</v>
      </c>
      <c r="DA125">
        <f t="shared" si="17"/>
        <v>9.92</v>
      </c>
      <c r="DB125">
        <v>0</v>
      </c>
    </row>
    <row r="126" spans="1:106" ht="12.75">
      <c r="A126">
        <f>ROW(Source!A240)</f>
        <v>240</v>
      </c>
      <c r="B126">
        <v>34388368</v>
      </c>
      <c r="C126">
        <v>34389742</v>
      </c>
      <c r="D126">
        <v>7230976</v>
      </c>
      <c r="E126">
        <v>1</v>
      </c>
      <c r="F126">
        <v>1</v>
      </c>
      <c r="G126">
        <v>7157832</v>
      </c>
      <c r="H126">
        <v>2</v>
      </c>
      <c r="I126" t="s">
        <v>448</v>
      </c>
      <c r="J126" t="s">
        <v>449</v>
      </c>
      <c r="K126" t="s">
        <v>450</v>
      </c>
      <c r="L126">
        <v>1368</v>
      </c>
      <c r="N126">
        <v>1011</v>
      </c>
      <c r="O126" t="s">
        <v>211</v>
      </c>
      <c r="P126" t="s">
        <v>211</v>
      </c>
      <c r="Q126">
        <v>1</v>
      </c>
      <c r="W126">
        <v>0</v>
      </c>
      <c r="X126">
        <v>738676200</v>
      </c>
      <c r="Y126">
        <v>0.057499999999999996</v>
      </c>
      <c r="AA126">
        <v>0</v>
      </c>
      <c r="AB126">
        <v>1016.39</v>
      </c>
      <c r="AC126">
        <v>611.08</v>
      </c>
      <c r="AD126">
        <v>0</v>
      </c>
      <c r="AE126">
        <v>0</v>
      </c>
      <c r="AF126">
        <v>148.89</v>
      </c>
      <c r="AG126">
        <v>28.61</v>
      </c>
      <c r="AH126">
        <v>0</v>
      </c>
      <c r="AI126">
        <v>1</v>
      </c>
      <c r="AJ126">
        <v>6.52</v>
      </c>
      <c r="AK126">
        <v>20.4</v>
      </c>
      <c r="AL126">
        <v>1</v>
      </c>
      <c r="AN126">
        <v>0</v>
      </c>
      <c r="AO126">
        <v>1</v>
      </c>
      <c r="AP126">
        <v>1</v>
      </c>
      <c r="AQ126">
        <v>0</v>
      </c>
      <c r="AR126">
        <v>0</v>
      </c>
      <c r="AT126">
        <v>0.05</v>
      </c>
      <c r="AU126" t="s">
        <v>27</v>
      </c>
      <c r="AV126">
        <v>0</v>
      </c>
      <c r="AW126">
        <v>2</v>
      </c>
      <c r="AX126">
        <v>34389760</v>
      </c>
      <c r="AY126">
        <v>1</v>
      </c>
      <c r="AZ126">
        <v>0</v>
      </c>
      <c r="BA126">
        <v>129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CX126">
        <f>Y126*Source!I240</f>
        <v>79.80999999999999</v>
      </c>
      <c r="CY126">
        <f t="shared" si="15"/>
        <v>1016.39</v>
      </c>
      <c r="CZ126">
        <f t="shared" si="16"/>
        <v>148.89</v>
      </c>
      <c r="DA126">
        <f t="shared" si="17"/>
        <v>6.52</v>
      </c>
      <c r="DB126">
        <v>0</v>
      </c>
    </row>
    <row r="127" spans="1:106" ht="12.75">
      <c r="A127">
        <f>ROW(Source!A240)</f>
        <v>240</v>
      </c>
      <c r="B127">
        <v>34388368</v>
      </c>
      <c r="C127">
        <v>34389742</v>
      </c>
      <c r="D127">
        <v>34353976</v>
      </c>
      <c r="E127">
        <v>1</v>
      </c>
      <c r="F127">
        <v>1</v>
      </c>
      <c r="G127">
        <v>7157832</v>
      </c>
      <c r="H127">
        <v>2</v>
      </c>
      <c r="I127" t="s">
        <v>489</v>
      </c>
      <c r="J127" t="s">
        <v>490</v>
      </c>
      <c r="K127" t="s">
        <v>491</v>
      </c>
      <c r="L127">
        <v>1368</v>
      </c>
      <c r="N127">
        <v>1011</v>
      </c>
      <c r="O127" t="s">
        <v>211</v>
      </c>
      <c r="P127" t="s">
        <v>211</v>
      </c>
      <c r="Q127">
        <v>1</v>
      </c>
      <c r="W127">
        <v>0</v>
      </c>
      <c r="X127">
        <v>1811157420</v>
      </c>
      <c r="Y127">
        <v>0.6784999999999999</v>
      </c>
      <c r="AA127">
        <v>0</v>
      </c>
      <c r="AB127">
        <v>744.25</v>
      </c>
      <c r="AC127">
        <v>400.26</v>
      </c>
      <c r="AD127">
        <v>0</v>
      </c>
      <c r="AE127">
        <v>0</v>
      </c>
      <c r="AF127">
        <v>80.14</v>
      </c>
      <c r="AG127">
        <v>18.74</v>
      </c>
      <c r="AH127">
        <v>0</v>
      </c>
      <c r="AI127">
        <v>1</v>
      </c>
      <c r="AJ127">
        <v>8.87</v>
      </c>
      <c r="AK127">
        <v>20.4</v>
      </c>
      <c r="AL127">
        <v>1</v>
      </c>
      <c r="AN127">
        <v>0</v>
      </c>
      <c r="AO127">
        <v>1</v>
      </c>
      <c r="AP127">
        <v>1</v>
      </c>
      <c r="AQ127">
        <v>0</v>
      </c>
      <c r="AR127">
        <v>0</v>
      </c>
      <c r="AT127">
        <v>0.59</v>
      </c>
      <c r="AU127" t="s">
        <v>27</v>
      </c>
      <c r="AV127">
        <v>0</v>
      </c>
      <c r="AW127">
        <v>2</v>
      </c>
      <c r="AX127">
        <v>34389761</v>
      </c>
      <c r="AY127">
        <v>1</v>
      </c>
      <c r="AZ127">
        <v>0</v>
      </c>
      <c r="BA127">
        <v>130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CX127">
        <f>Y127*Source!I240</f>
        <v>941.7579999999998</v>
      </c>
      <c r="CY127">
        <f t="shared" si="15"/>
        <v>744.25</v>
      </c>
      <c r="CZ127">
        <f t="shared" si="16"/>
        <v>80.14</v>
      </c>
      <c r="DA127">
        <f t="shared" si="17"/>
        <v>8.87</v>
      </c>
      <c r="DB127">
        <v>0</v>
      </c>
    </row>
    <row r="128" spans="1:106" ht="12.75">
      <c r="A128">
        <f>ROW(Source!A240)</f>
        <v>240</v>
      </c>
      <c r="B128">
        <v>34388368</v>
      </c>
      <c r="C128">
        <v>34389742</v>
      </c>
      <c r="D128">
        <v>7232722</v>
      </c>
      <c r="E128">
        <v>1</v>
      </c>
      <c r="F128">
        <v>1</v>
      </c>
      <c r="G128">
        <v>7157832</v>
      </c>
      <c r="H128">
        <v>3</v>
      </c>
      <c r="I128" t="s">
        <v>492</v>
      </c>
      <c r="J128" t="s">
        <v>493</v>
      </c>
      <c r="K128" t="s">
        <v>494</v>
      </c>
      <c r="L128">
        <v>1348</v>
      </c>
      <c r="N128">
        <v>1009</v>
      </c>
      <c r="O128" t="s">
        <v>265</v>
      </c>
      <c r="P128" t="s">
        <v>265</v>
      </c>
      <c r="Q128">
        <v>1000</v>
      </c>
      <c r="W128">
        <v>0</v>
      </c>
      <c r="X128">
        <v>-1829590181</v>
      </c>
      <c r="Y128">
        <v>0.00054</v>
      </c>
      <c r="AA128">
        <v>18891.4</v>
      </c>
      <c r="AB128">
        <v>0</v>
      </c>
      <c r="AC128">
        <v>0</v>
      </c>
      <c r="AD128">
        <v>0</v>
      </c>
      <c r="AE128">
        <v>5778.3</v>
      </c>
      <c r="AF128">
        <v>0</v>
      </c>
      <c r="AG128">
        <v>0</v>
      </c>
      <c r="AH128">
        <v>0</v>
      </c>
      <c r="AI128">
        <v>3.03</v>
      </c>
      <c r="AJ128">
        <v>1</v>
      </c>
      <c r="AK128">
        <v>1</v>
      </c>
      <c r="AL128">
        <v>1</v>
      </c>
      <c r="AN128">
        <v>0</v>
      </c>
      <c r="AO128">
        <v>1</v>
      </c>
      <c r="AP128">
        <v>0</v>
      </c>
      <c r="AQ128">
        <v>0</v>
      </c>
      <c r="AR128">
        <v>0</v>
      </c>
      <c r="AT128">
        <v>0.00054</v>
      </c>
      <c r="AV128">
        <v>0</v>
      </c>
      <c r="AW128">
        <v>2</v>
      </c>
      <c r="AX128">
        <v>34389762</v>
      </c>
      <c r="AY128">
        <v>1</v>
      </c>
      <c r="AZ128">
        <v>0</v>
      </c>
      <c r="BA128">
        <v>131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CX128">
        <f>Y128*Source!I240</f>
        <v>0.74952</v>
      </c>
      <c r="CY128">
        <f>AA128</f>
        <v>18891.4</v>
      </c>
      <c r="CZ128">
        <f>AE128</f>
        <v>5778.3</v>
      </c>
      <c r="DA128">
        <f>AI128</f>
        <v>3.03</v>
      </c>
      <c r="DB128">
        <v>0</v>
      </c>
    </row>
    <row r="129" spans="1:106" ht="12.75">
      <c r="A129">
        <f>ROW(Source!A240)</f>
        <v>240</v>
      </c>
      <c r="B129">
        <v>34388368</v>
      </c>
      <c r="C129">
        <v>34389742</v>
      </c>
      <c r="D129">
        <v>7231827</v>
      </c>
      <c r="E129">
        <v>1</v>
      </c>
      <c r="F129">
        <v>1</v>
      </c>
      <c r="G129">
        <v>7157832</v>
      </c>
      <c r="H129">
        <v>3</v>
      </c>
      <c r="I129" t="s">
        <v>430</v>
      </c>
      <c r="J129" t="s">
        <v>431</v>
      </c>
      <c r="K129" t="s">
        <v>432</v>
      </c>
      <c r="L129">
        <v>1339</v>
      </c>
      <c r="N129">
        <v>1007</v>
      </c>
      <c r="O129" t="s">
        <v>42</v>
      </c>
      <c r="P129" t="s">
        <v>42</v>
      </c>
      <c r="Q129">
        <v>1</v>
      </c>
      <c r="W129">
        <v>0</v>
      </c>
      <c r="X129">
        <v>55300385</v>
      </c>
      <c r="Y129">
        <v>0.69</v>
      </c>
      <c r="AA129">
        <v>32.34</v>
      </c>
      <c r="AB129">
        <v>0</v>
      </c>
      <c r="AC129">
        <v>0</v>
      </c>
      <c r="AD129">
        <v>0</v>
      </c>
      <c r="AE129">
        <v>7.07</v>
      </c>
      <c r="AF129">
        <v>0</v>
      </c>
      <c r="AG129">
        <v>0</v>
      </c>
      <c r="AH129">
        <v>0</v>
      </c>
      <c r="AI129">
        <v>4.24</v>
      </c>
      <c r="AJ129">
        <v>1</v>
      </c>
      <c r="AK129">
        <v>1</v>
      </c>
      <c r="AL129">
        <v>1</v>
      </c>
      <c r="AN129">
        <v>0</v>
      </c>
      <c r="AO129">
        <v>1</v>
      </c>
      <c r="AP129">
        <v>0</v>
      </c>
      <c r="AQ129">
        <v>0</v>
      </c>
      <c r="AR129">
        <v>0</v>
      </c>
      <c r="AT129">
        <v>0.69</v>
      </c>
      <c r="AV129">
        <v>0</v>
      </c>
      <c r="AW129">
        <v>2</v>
      </c>
      <c r="AX129">
        <v>34389763</v>
      </c>
      <c r="AY129">
        <v>1</v>
      </c>
      <c r="AZ129">
        <v>0</v>
      </c>
      <c r="BA129">
        <v>132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CX129">
        <f>Y129*Source!I240</f>
        <v>957.7199999999999</v>
      </c>
      <c r="CY129">
        <f>AA129</f>
        <v>32.34</v>
      </c>
      <c r="CZ129">
        <f>AE129</f>
        <v>7.07</v>
      </c>
      <c r="DA129">
        <f>AI129</f>
        <v>4.24</v>
      </c>
      <c r="DB129">
        <v>0</v>
      </c>
    </row>
    <row r="130" spans="1:106" ht="12.75">
      <c r="A130">
        <f>ROW(Source!A240)</f>
        <v>240</v>
      </c>
      <c r="B130">
        <v>34388368</v>
      </c>
      <c r="C130">
        <v>34389742</v>
      </c>
      <c r="D130">
        <v>9198995</v>
      </c>
      <c r="E130">
        <v>1</v>
      </c>
      <c r="F130">
        <v>1</v>
      </c>
      <c r="G130">
        <v>7157832</v>
      </c>
      <c r="H130">
        <v>3</v>
      </c>
      <c r="I130" t="s">
        <v>495</v>
      </c>
      <c r="J130" t="s">
        <v>496</v>
      </c>
      <c r="K130" t="s">
        <v>497</v>
      </c>
      <c r="L130">
        <v>1346</v>
      </c>
      <c r="N130">
        <v>1009</v>
      </c>
      <c r="O130" t="s">
        <v>307</v>
      </c>
      <c r="P130" t="s">
        <v>307</v>
      </c>
      <c r="Q130">
        <v>1</v>
      </c>
      <c r="W130">
        <v>0</v>
      </c>
      <c r="X130">
        <v>-1154045356</v>
      </c>
      <c r="Y130">
        <v>0.038</v>
      </c>
      <c r="AA130">
        <v>46.57</v>
      </c>
      <c r="AB130">
        <v>0</v>
      </c>
      <c r="AC130">
        <v>0</v>
      </c>
      <c r="AD130">
        <v>0</v>
      </c>
      <c r="AE130">
        <v>7.48</v>
      </c>
      <c r="AF130">
        <v>0</v>
      </c>
      <c r="AG130">
        <v>0</v>
      </c>
      <c r="AH130">
        <v>0</v>
      </c>
      <c r="AI130">
        <v>5.77</v>
      </c>
      <c r="AJ130">
        <v>1</v>
      </c>
      <c r="AK130">
        <v>1</v>
      </c>
      <c r="AL130">
        <v>1</v>
      </c>
      <c r="AN130">
        <v>0</v>
      </c>
      <c r="AO130">
        <v>1</v>
      </c>
      <c r="AP130">
        <v>0</v>
      </c>
      <c r="AQ130">
        <v>0</v>
      </c>
      <c r="AR130">
        <v>0</v>
      </c>
      <c r="AT130">
        <v>0.038</v>
      </c>
      <c r="AV130">
        <v>0</v>
      </c>
      <c r="AW130">
        <v>2</v>
      </c>
      <c r="AX130">
        <v>34389764</v>
      </c>
      <c r="AY130">
        <v>1</v>
      </c>
      <c r="AZ130">
        <v>0</v>
      </c>
      <c r="BA130">
        <v>133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CX130">
        <f>Y130*Source!I240</f>
        <v>52.744</v>
      </c>
      <c r="CY130">
        <f>AA130</f>
        <v>46.57</v>
      </c>
      <c r="CZ130">
        <f>AE130</f>
        <v>7.48</v>
      </c>
      <c r="DA130">
        <f>AI130</f>
        <v>5.77</v>
      </c>
      <c r="DB130">
        <v>0</v>
      </c>
    </row>
    <row r="131" spans="1:106" ht="12.75">
      <c r="A131">
        <f>ROW(Source!A244)</f>
        <v>244</v>
      </c>
      <c r="B131">
        <v>34388368</v>
      </c>
      <c r="C131">
        <v>34389771</v>
      </c>
      <c r="D131">
        <v>7157835</v>
      </c>
      <c r="E131">
        <v>7157832</v>
      </c>
      <c r="F131">
        <v>1</v>
      </c>
      <c r="G131">
        <v>7157832</v>
      </c>
      <c r="H131">
        <v>1</v>
      </c>
      <c r="I131" t="s">
        <v>399</v>
      </c>
      <c r="K131" t="s">
        <v>400</v>
      </c>
      <c r="L131">
        <v>1191</v>
      </c>
      <c r="N131">
        <v>1013</v>
      </c>
      <c r="O131" t="s">
        <v>401</v>
      </c>
      <c r="P131" t="s">
        <v>401</v>
      </c>
      <c r="Q131">
        <v>1</v>
      </c>
      <c r="W131">
        <v>0</v>
      </c>
      <c r="X131">
        <v>946207192</v>
      </c>
      <c r="Y131">
        <v>0.299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0</v>
      </c>
      <c r="AI131">
        <v>1</v>
      </c>
      <c r="AJ131">
        <v>1</v>
      </c>
      <c r="AK131">
        <v>1</v>
      </c>
      <c r="AL131">
        <v>1</v>
      </c>
      <c r="AN131">
        <v>0</v>
      </c>
      <c r="AO131">
        <v>1</v>
      </c>
      <c r="AP131">
        <v>1</v>
      </c>
      <c r="AQ131">
        <v>0</v>
      </c>
      <c r="AR131">
        <v>0</v>
      </c>
      <c r="AT131">
        <v>0.26</v>
      </c>
      <c r="AU131" t="s">
        <v>27</v>
      </c>
      <c r="AV131">
        <v>1</v>
      </c>
      <c r="AW131">
        <v>2</v>
      </c>
      <c r="AX131">
        <v>34389774</v>
      </c>
      <c r="AY131">
        <v>1</v>
      </c>
      <c r="AZ131">
        <v>0</v>
      </c>
      <c r="BA131">
        <v>137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CX131">
        <f>Y131*Source!I244</f>
        <v>0.897</v>
      </c>
      <c r="CY131">
        <f>AD131</f>
        <v>0</v>
      </c>
      <c r="CZ131">
        <f>AH131</f>
        <v>0</v>
      </c>
      <c r="DA131">
        <f>AL131</f>
        <v>1</v>
      </c>
      <c r="DB131">
        <v>0</v>
      </c>
    </row>
    <row r="132" spans="1:106" ht="12.75">
      <c r="A132">
        <f>ROW(Source!A244)</f>
        <v>244</v>
      </c>
      <c r="B132">
        <v>34388368</v>
      </c>
      <c r="C132">
        <v>34389771</v>
      </c>
      <c r="D132">
        <v>7231390</v>
      </c>
      <c r="E132">
        <v>1</v>
      </c>
      <c r="F132">
        <v>1</v>
      </c>
      <c r="G132">
        <v>7157832</v>
      </c>
      <c r="H132">
        <v>2</v>
      </c>
      <c r="I132" t="s">
        <v>474</v>
      </c>
      <c r="J132" t="s">
        <v>475</v>
      </c>
      <c r="K132" t="s">
        <v>476</v>
      </c>
      <c r="L132">
        <v>1368</v>
      </c>
      <c r="N132">
        <v>1011</v>
      </c>
      <c r="O132" t="s">
        <v>211</v>
      </c>
      <c r="P132" t="s">
        <v>211</v>
      </c>
      <c r="Q132">
        <v>1</v>
      </c>
      <c r="W132">
        <v>0</v>
      </c>
      <c r="X132">
        <v>-895672608</v>
      </c>
      <c r="Y132">
        <v>0.299</v>
      </c>
      <c r="AA132">
        <v>0</v>
      </c>
      <c r="AB132">
        <v>5503.64</v>
      </c>
      <c r="AC132">
        <v>1242.87</v>
      </c>
      <c r="AD132">
        <v>0</v>
      </c>
      <c r="AE132">
        <v>0</v>
      </c>
      <c r="AF132">
        <v>942.04</v>
      </c>
      <c r="AG132">
        <v>58.19</v>
      </c>
      <c r="AH132">
        <v>0</v>
      </c>
      <c r="AI132">
        <v>1</v>
      </c>
      <c r="AJ132">
        <v>5.58</v>
      </c>
      <c r="AK132">
        <v>20.4</v>
      </c>
      <c r="AL132">
        <v>1</v>
      </c>
      <c r="AN132">
        <v>0</v>
      </c>
      <c r="AO132">
        <v>1</v>
      </c>
      <c r="AP132">
        <v>1</v>
      </c>
      <c r="AQ132">
        <v>0</v>
      </c>
      <c r="AR132">
        <v>0</v>
      </c>
      <c r="AT132">
        <v>0.26</v>
      </c>
      <c r="AU132" t="s">
        <v>27</v>
      </c>
      <c r="AV132">
        <v>0</v>
      </c>
      <c r="AW132">
        <v>2</v>
      </c>
      <c r="AX132">
        <v>34389775</v>
      </c>
      <c r="AY132">
        <v>1</v>
      </c>
      <c r="AZ132">
        <v>0</v>
      </c>
      <c r="BA132">
        <v>138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CX132">
        <f>Y132*Source!I244</f>
        <v>0.897</v>
      </c>
      <c r="CY132">
        <f>AB132</f>
        <v>5503.64</v>
      </c>
      <c r="CZ132">
        <f>AF132</f>
        <v>942.04</v>
      </c>
      <c r="DA132">
        <f>AJ132</f>
        <v>5.58</v>
      </c>
      <c r="DB132">
        <v>0</v>
      </c>
    </row>
    <row r="133" spans="1:106" ht="12.75">
      <c r="A133">
        <f>ROW(Source!A249)</f>
        <v>249</v>
      </c>
      <c r="B133">
        <v>34388368</v>
      </c>
      <c r="C133">
        <v>34389780</v>
      </c>
      <c r="D133">
        <v>7231226</v>
      </c>
      <c r="E133">
        <v>1</v>
      </c>
      <c r="F133">
        <v>1</v>
      </c>
      <c r="G133">
        <v>7157832</v>
      </c>
      <c r="H133">
        <v>2</v>
      </c>
      <c r="I133" t="s">
        <v>498</v>
      </c>
      <c r="J133" t="s">
        <v>499</v>
      </c>
      <c r="K133" t="s">
        <v>500</v>
      </c>
      <c r="L133">
        <v>1368</v>
      </c>
      <c r="N133">
        <v>1011</v>
      </c>
      <c r="O133" t="s">
        <v>211</v>
      </c>
      <c r="P133" t="s">
        <v>211</v>
      </c>
      <c r="Q133">
        <v>1</v>
      </c>
      <c r="W133">
        <v>0</v>
      </c>
      <c r="X133">
        <v>211083888</v>
      </c>
      <c r="Y133">
        <v>2.093</v>
      </c>
      <c r="AA133">
        <v>0</v>
      </c>
      <c r="AB133">
        <v>32.09</v>
      </c>
      <c r="AC133">
        <v>6.97</v>
      </c>
      <c r="AD133">
        <v>0</v>
      </c>
      <c r="AE133">
        <v>0</v>
      </c>
      <c r="AF133">
        <v>14.12</v>
      </c>
      <c r="AG133">
        <v>0.32</v>
      </c>
      <c r="AH133">
        <v>0</v>
      </c>
      <c r="AI133">
        <v>1</v>
      </c>
      <c r="AJ133">
        <v>2.13</v>
      </c>
      <c r="AK133">
        <v>20.4</v>
      </c>
      <c r="AL133">
        <v>1</v>
      </c>
      <c r="AN133">
        <v>0</v>
      </c>
      <c r="AO133">
        <v>1</v>
      </c>
      <c r="AP133">
        <v>1</v>
      </c>
      <c r="AQ133">
        <v>0</v>
      </c>
      <c r="AR133">
        <v>0</v>
      </c>
      <c r="AT133">
        <v>1.82</v>
      </c>
      <c r="AU133" t="s">
        <v>27</v>
      </c>
      <c r="AV133">
        <v>0</v>
      </c>
      <c r="AW133">
        <v>2</v>
      </c>
      <c r="AX133">
        <v>34389782</v>
      </c>
      <c r="AY133">
        <v>1</v>
      </c>
      <c r="AZ133">
        <v>0</v>
      </c>
      <c r="BA133">
        <v>139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  <c r="CX133">
        <f>Y133*Source!I249</f>
        <v>240.695</v>
      </c>
      <c r="CY133">
        <f>AB133</f>
        <v>32.09</v>
      </c>
      <c r="CZ133">
        <f>AF133</f>
        <v>14.12</v>
      </c>
      <c r="DA133">
        <f>AJ133</f>
        <v>2.13</v>
      </c>
      <c r="DB133">
        <v>0</v>
      </c>
    </row>
    <row r="134" spans="1:106" ht="12.75">
      <c r="A134">
        <f>ROW(Source!A250)</f>
        <v>250</v>
      </c>
      <c r="B134">
        <v>34388368</v>
      </c>
      <c r="C134">
        <v>34389783</v>
      </c>
      <c r="D134">
        <v>7157835</v>
      </c>
      <c r="E134">
        <v>7157832</v>
      </c>
      <c r="F134">
        <v>1</v>
      </c>
      <c r="G134">
        <v>7157832</v>
      </c>
      <c r="H134">
        <v>1</v>
      </c>
      <c r="I134" t="s">
        <v>399</v>
      </c>
      <c r="K134" t="s">
        <v>400</v>
      </c>
      <c r="L134">
        <v>1191</v>
      </c>
      <c r="N134">
        <v>1013</v>
      </c>
      <c r="O134" t="s">
        <v>401</v>
      </c>
      <c r="P134" t="s">
        <v>401</v>
      </c>
      <c r="Q134">
        <v>1</v>
      </c>
      <c r="W134">
        <v>0</v>
      </c>
      <c r="X134">
        <v>946207192</v>
      </c>
      <c r="Y134">
        <v>123.096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v>1</v>
      </c>
      <c r="AJ134">
        <v>1</v>
      </c>
      <c r="AK134">
        <v>1</v>
      </c>
      <c r="AL134">
        <v>1</v>
      </c>
      <c r="AN134">
        <v>0</v>
      </c>
      <c r="AO134">
        <v>1</v>
      </c>
      <c r="AP134">
        <v>1</v>
      </c>
      <c r="AQ134">
        <v>0</v>
      </c>
      <c r="AR134">
        <v>0</v>
      </c>
      <c r="AT134">
        <v>107.04</v>
      </c>
      <c r="AU134" t="s">
        <v>27</v>
      </c>
      <c r="AV134">
        <v>1</v>
      </c>
      <c r="AW134">
        <v>2</v>
      </c>
      <c r="AX134">
        <v>34389785</v>
      </c>
      <c r="AY134">
        <v>1</v>
      </c>
      <c r="AZ134">
        <v>0</v>
      </c>
      <c r="BA134">
        <v>140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CX134">
        <f>Y134*Source!I250</f>
        <v>44.31456</v>
      </c>
      <c r="CY134">
        <f>AD134</f>
        <v>0</v>
      </c>
      <c r="CZ134">
        <f>AH134</f>
        <v>0</v>
      </c>
      <c r="DA134">
        <f>AL134</f>
        <v>1</v>
      </c>
      <c r="DB134">
        <v>0</v>
      </c>
    </row>
    <row r="135" spans="1:106" ht="12.75">
      <c r="A135">
        <f>ROW(Source!A282)</f>
        <v>282</v>
      </c>
      <c r="B135">
        <v>34388368</v>
      </c>
      <c r="C135">
        <v>34389192</v>
      </c>
      <c r="D135">
        <v>0</v>
      </c>
      <c r="E135">
        <v>1</v>
      </c>
      <c r="F135">
        <v>1</v>
      </c>
      <c r="G135">
        <v>7157832</v>
      </c>
      <c r="H135">
        <v>3</v>
      </c>
      <c r="I135" t="s">
        <v>62</v>
      </c>
      <c r="K135" t="s">
        <v>348</v>
      </c>
      <c r="L135">
        <v>1371</v>
      </c>
      <c r="N135">
        <v>1013</v>
      </c>
      <c r="O135" t="s">
        <v>165</v>
      </c>
      <c r="P135" t="s">
        <v>165</v>
      </c>
      <c r="Q135">
        <v>1</v>
      </c>
      <c r="W135">
        <v>0</v>
      </c>
      <c r="X135">
        <v>-353308058</v>
      </c>
      <c r="Y135">
        <v>100</v>
      </c>
      <c r="AA135">
        <v>181.36</v>
      </c>
      <c r="AB135">
        <v>0</v>
      </c>
      <c r="AC135">
        <v>0</v>
      </c>
      <c r="AD135">
        <v>0</v>
      </c>
      <c r="AE135">
        <v>181.36</v>
      </c>
      <c r="AF135">
        <v>0</v>
      </c>
      <c r="AG135">
        <v>0</v>
      </c>
      <c r="AH135">
        <v>0</v>
      </c>
      <c r="AI135">
        <v>1</v>
      </c>
      <c r="AJ135">
        <v>1</v>
      </c>
      <c r="AK135">
        <v>1</v>
      </c>
      <c r="AL135">
        <v>1</v>
      </c>
      <c r="AN135">
        <v>0</v>
      </c>
      <c r="AO135">
        <v>0</v>
      </c>
      <c r="AP135">
        <v>0</v>
      </c>
      <c r="AQ135">
        <v>0</v>
      </c>
      <c r="AR135">
        <v>0</v>
      </c>
      <c r="AT135">
        <v>100</v>
      </c>
      <c r="AV135">
        <v>0</v>
      </c>
      <c r="AW135">
        <v>1</v>
      </c>
      <c r="AX135">
        <v>-1</v>
      </c>
      <c r="AY135">
        <v>0</v>
      </c>
      <c r="AZ135">
        <v>0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CX135">
        <f>Y135*Source!I282</f>
        <v>1591</v>
      </c>
      <c r="CY135">
        <f>AA135</f>
        <v>181.36</v>
      </c>
      <c r="CZ135">
        <f>AE135</f>
        <v>181.36</v>
      </c>
      <c r="DA135">
        <f>AI135</f>
        <v>1</v>
      </c>
      <c r="DB135">
        <v>0</v>
      </c>
    </row>
    <row r="136" spans="1:106" ht="12.75">
      <c r="A136">
        <f>ROW(Source!A284)</f>
        <v>284</v>
      </c>
      <c r="B136">
        <v>34388368</v>
      </c>
      <c r="C136">
        <v>34389195</v>
      </c>
      <c r="D136">
        <v>0</v>
      </c>
      <c r="E136">
        <v>0</v>
      </c>
      <c r="F136">
        <v>1</v>
      </c>
      <c r="G136">
        <v>7157832</v>
      </c>
      <c r="H136">
        <v>3</v>
      </c>
      <c r="I136" t="s">
        <v>62</v>
      </c>
      <c r="K136" t="s">
        <v>358</v>
      </c>
      <c r="L136">
        <v>1371</v>
      </c>
      <c r="N136">
        <v>1013</v>
      </c>
      <c r="O136" t="s">
        <v>165</v>
      </c>
      <c r="P136" t="s">
        <v>165</v>
      </c>
      <c r="Q136">
        <v>1</v>
      </c>
      <c r="W136">
        <v>0</v>
      </c>
      <c r="X136">
        <v>391796212</v>
      </c>
      <c r="Y136">
        <v>100</v>
      </c>
      <c r="AA136">
        <v>215.25</v>
      </c>
      <c r="AB136">
        <v>0</v>
      </c>
      <c r="AC136">
        <v>0</v>
      </c>
      <c r="AD136">
        <v>0</v>
      </c>
      <c r="AE136">
        <v>215.25</v>
      </c>
      <c r="AF136">
        <v>0</v>
      </c>
      <c r="AG136">
        <v>0</v>
      </c>
      <c r="AH136">
        <v>0</v>
      </c>
      <c r="AI136">
        <v>1</v>
      </c>
      <c r="AJ136">
        <v>1</v>
      </c>
      <c r="AK136">
        <v>1</v>
      </c>
      <c r="AL136">
        <v>1</v>
      </c>
      <c r="AN136">
        <v>0</v>
      </c>
      <c r="AO136">
        <v>0</v>
      </c>
      <c r="AP136">
        <v>0</v>
      </c>
      <c r="AQ136">
        <v>0</v>
      </c>
      <c r="AR136">
        <v>0</v>
      </c>
      <c r="AT136">
        <v>100</v>
      </c>
      <c r="AV136">
        <v>0</v>
      </c>
      <c r="AW136">
        <v>1</v>
      </c>
      <c r="AX136">
        <v>-1</v>
      </c>
      <c r="AY136">
        <v>0</v>
      </c>
      <c r="AZ136">
        <v>0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  <c r="CX136">
        <f>Y136*Source!I284</f>
        <v>1591</v>
      </c>
      <c r="CY136">
        <f>AA136</f>
        <v>215.25</v>
      </c>
      <c r="CZ136">
        <f>AE136</f>
        <v>215.25</v>
      </c>
      <c r="DA136">
        <f>AI136</f>
        <v>1</v>
      </c>
      <c r="DB136">
        <v>0</v>
      </c>
    </row>
    <row r="137" spans="1:106" ht="12.75">
      <c r="A137">
        <f>ROW(Source!A288)</f>
        <v>288</v>
      </c>
      <c r="B137">
        <v>34388368</v>
      </c>
      <c r="C137">
        <v>34389200</v>
      </c>
      <c r="D137">
        <v>7157835</v>
      </c>
      <c r="E137">
        <v>7157832</v>
      </c>
      <c r="F137">
        <v>1</v>
      </c>
      <c r="G137">
        <v>7157832</v>
      </c>
      <c r="H137">
        <v>1</v>
      </c>
      <c r="I137" t="s">
        <v>399</v>
      </c>
      <c r="K137" t="s">
        <v>400</v>
      </c>
      <c r="L137">
        <v>1191</v>
      </c>
      <c r="N137">
        <v>1013</v>
      </c>
      <c r="O137" t="s">
        <v>401</v>
      </c>
      <c r="P137" t="s">
        <v>401</v>
      </c>
      <c r="Q137">
        <v>1</v>
      </c>
      <c r="W137">
        <v>0</v>
      </c>
      <c r="X137">
        <v>946207192</v>
      </c>
      <c r="Y137">
        <v>3.4959999999999996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0</v>
      </c>
      <c r="AI137">
        <v>1</v>
      </c>
      <c r="AJ137">
        <v>1</v>
      </c>
      <c r="AK137">
        <v>1</v>
      </c>
      <c r="AL137">
        <v>1</v>
      </c>
      <c r="AN137">
        <v>0</v>
      </c>
      <c r="AO137">
        <v>1</v>
      </c>
      <c r="AP137">
        <v>1</v>
      </c>
      <c r="AQ137">
        <v>0</v>
      </c>
      <c r="AR137">
        <v>0</v>
      </c>
      <c r="AT137">
        <v>3.04</v>
      </c>
      <c r="AU137" t="s">
        <v>27</v>
      </c>
      <c r="AV137">
        <v>1</v>
      </c>
      <c r="AW137">
        <v>2</v>
      </c>
      <c r="AX137">
        <v>34389203</v>
      </c>
      <c r="AY137">
        <v>1</v>
      </c>
      <c r="AZ137">
        <v>0</v>
      </c>
      <c r="BA137">
        <v>141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  <c r="CX137">
        <f>Y137*Source!I288</f>
        <v>32.93232</v>
      </c>
      <c r="CY137">
        <f>AD137</f>
        <v>0</v>
      </c>
      <c r="CZ137">
        <f>AH137</f>
        <v>0</v>
      </c>
      <c r="DA137">
        <f>AL137</f>
        <v>1</v>
      </c>
      <c r="DB137">
        <v>0</v>
      </c>
    </row>
    <row r="138" spans="1:106" ht="12.75">
      <c r="A138">
        <f>ROW(Source!A288)</f>
        <v>288</v>
      </c>
      <c r="B138">
        <v>34388368</v>
      </c>
      <c r="C138">
        <v>34389200</v>
      </c>
      <c r="D138">
        <v>0</v>
      </c>
      <c r="E138">
        <v>7157832</v>
      </c>
      <c r="F138">
        <v>1</v>
      </c>
      <c r="G138">
        <v>7157832</v>
      </c>
      <c r="H138">
        <v>3</v>
      </c>
      <c r="I138" t="s">
        <v>62</v>
      </c>
      <c r="K138" t="s">
        <v>368</v>
      </c>
      <c r="L138">
        <v>9974465</v>
      </c>
      <c r="N138">
        <v>1013</v>
      </c>
      <c r="O138" t="s">
        <v>79</v>
      </c>
      <c r="P138" t="s">
        <v>79</v>
      </c>
      <c r="Q138">
        <v>1</v>
      </c>
      <c r="W138">
        <v>0</v>
      </c>
      <c r="X138">
        <v>-1113806162</v>
      </c>
      <c r="Y138">
        <v>0.106157</v>
      </c>
      <c r="AA138">
        <v>5508.47</v>
      </c>
      <c r="AB138">
        <v>0</v>
      </c>
      <c r="AC138">
        <v>0</v>
      </c>
      <c r="AD138">
        <v>0</v>
      </c>
      <c r="AE138">
        <v>5508.47</v>
      </c>
      <c r="AF138">
        <v>0</v>
      </c>
      <c r="AG138">
        <v>0</v>
      </c>
      <c r="AH138">
        <v>0</v>
      </c>
      <c r="AI138">
        <v>1</v>
      </c>
      <c r="AJ138">
        <v>1</v>
      </c>
      <c r="AK138">
        <v>1</v>
      </c>
      <c r="AL138">
        <v>1</v>
      </c>
      <c r="AN138">
        <v>0</v>
      </c>
      <c r="AO138">
        <v>0</v>
      </c>
      <c r="AP138">
        <v>0</v>
      </c>
      <c r="AQ138">
        <v>0</v>
      </c>
      <c r="AR138">
        <v>0</v>
      </c>
      <c r="AT138">
        <v>0.106157</v>
      </c>
      <c r="AV138">
        <v>0</v>
      </c>
      <c r="AW138">
        <v>1</v>
      </c>
      <c r="AX138">
        <v>-1</v>
      </c>
      <c r="AY138">
        <v>0</v>
      </c>
      <c r="AZ138">
        <v>0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0</v>
      </c>
      <c r="CX138">
        <f>Y138*Source!I288</f>
        <v>0.99999894</v>
      </c>
      <c r="CY138">
        <f aca="true" t="shared" si="18" ref="CY138:CY144">AA138</f>
        <v>5508.47</v>
      </c>
      <c r="CZ138">
        <f aca="true" t="shared" si="19" ref="CZ138:CZ144">AE138</f>
        <v>5508.47</v>
      </c>
      <c r="DA138">
        <f aca="true" t="shared" si="20" ref="DA138:DA144">AI138</f>
        <v>1</v>
      </c>
      <c r="DB138">
        <v>0</v>
      </c>
    </row>
    <row r="139" spans="1:106" ht="12.75">
      <c r="A139">
        <f>ROW(Source!A290)</f>
        <v>290</v>
      </c>
      <c r="B139">
        <v>34388368</v>
      </c>
      <c r="C139">
        <v>34389206</v>
      </c>
      <c r="D139">
        <v>0</v>
      </c>
      <c r="E139">
        <v>7157832</v>
      </c>
      <c r="F139">
        <v>1</v>
      </c>
      <c r="G139">
        <v>7157832</v>
      </c>
      <c r="H139">
        <v>3</v>
      </c>
      <c r="I139" t="s">
        <v>62</v>
      </c>
      <c r="K139" t="s">
        <v>372</v>
      </c>
      <c r="L139">
        <v>1371</v>
      </c>
      <c r="N139">
        <v>1013</v>
      </c>
      <c r="O139" t="s">
        <v>165</v>
      </c>
      <c r="P139" t="s">
        <v>165</v>
      </c>
      <c r="Q139">
        <v>1</v>
      </c>
      <c r="W139">
        <v>0</v>
      </c>
      <c r="X139">
        <v>-409080022</v>
      </c>
      <c r="Y139">
        <v>1</v>
      </c>
      <c r="AA139">
        <v>22500</v>
      </c>
      <c r="AB139">
        <v>0</v>
      </c>
      <c r="AC139">
        <v>0</v>
      </c>
      <c r="AD139">
        <v>0</v>
      </c>
      <c r="AE139">
        <v>22500</v>
      </c>
      <c r="AF139">
        <v>0</v>
      </c>
      <c r="AG139">
        <v>0</v>
      </c>
      <c r="AH139">
        <v>0</v>
      </c>
      <c r="AI139">
        <v>1</v>
      </c>
      <c r="AJ139">
        <v>1</v>
      </c>
      <c r="AK139">
        <v>1</v>
      </c>
      <c r="AL139">
        <v>1</v>
      </c>
      <c r="AN139">
        <v>0</v>
      </c>
      <c r="AO139">
        <v>0</v>
      </c>
      <c r="AP139">
        <v>0</v>
      </c>
      <c r="AQ139">
        <v>0</v>
      </c>
      <c r="AR139">
        <v>0</v>
      </c>
      <c r="AT139">
        <v>1</v>
      </c>
      <c r="AV139">
        <v>0</v>
      </c>
      <c r="AW139">
        <v>1</v>
      </c>
      <c r="AX139">
        <v>-1</v>
      </c>
      <c r="AY139">
        <v>0</v>
      </c>
      <c r="AZ139">
        <v>0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0</v>
      </c>
      <c r="CX139">
        <f>Y139*Source!I290</f>
        <v>6</v>
      </c>
      <c r="CY139">
        <f t="shared" si="18"/>
        <v>22500</v>
      </c>
      <c r="CZ139">
        <f t="shared" si="19"/>
        <v>22500</v>
      </c>
      <c r="DA139">
        <f t="shared" si="20"/>
        <v>1</v>
      </c>
      <c r="DB139">
        <v>0</v>
      </c>
    </row>
    <row r="140" spans="1:106" ht="12.75">
      <c r="A140">
        <f>ROW(Source!A292)</f>
        <v>292</v>
      </c>
      <c r="B140">
        <v>34388368</v>
      </c>
      <c r="C140">
        <v>34389209</v>
      </c>
      <c r="D140">
        <v>0</v>
      </c>
      <c r="E140">
        <v>0</v>
      </c>
      <c r="F140">
        <v>1</v>
      </c>
      <c r="G140">
        <v>7157832</v>
      </c>
      <c r="H140">
        <v>3</v>
      </c>
      <c r="I140" t="s">
        <v>62</v>
      </c>
      <c r="K140" t="s">
        <v>379</v>
      </c>
      <c r="L140">
        <v>1371</v>
      </c>
      <c r="N140">
        <v>1013</v>
      </c>
      <c r="O140" t="s">
        <v>165</v>
      </c>
      <c r="P140" t="s">
        <v>165</v>
      </c>
      <c r="Q140">
        <v>1</v>
      </c>
      <c r="W140">
        <v>0</v>
      </c>
      <c r="X140">
        <v>1594868299</v>
      </c>
      <c r="Y140">
        <v>166.666667</v>
      </c>
      <c r="AA140">
        <v>1025.42</v>
      </c>
      <c r="AB140">
        <v>0</v>
      </c>
      <c r="AC140">
        <v>0</v>
      </c>
      <c r="AD140">
        <v>0</v>
      </c>
      <c r="AE140">
        <v>1025.42</v>
      </c>
      <c r="AF140">
        <v>0</v>
      </c>
      <c r="AG140">
        <v>0</v>
      </c>
      <c r="AH140">
        <v>0</v>
      </c>
      <c r="AI140">
        <v>1</v>
      </c>
      <c r="AJ140">
        <v>1</v>
      </c>
      <c r="AK140">
        <v>1</v>
      </c>
      <c r="AL140">
        <v>1</v>
      </c>
      <c r="AN140">
        <v>0</v>
      </c>
      <c r="AO140">
        <v>0</v>
      </c>
      <c r="AP140">
        <v>0</v>
      </c>
      <c r="AQ140">
        <v>0</v>
      </c>
      <c r="AR140">
        <v>0</v>
      </c>
      <c r="AT140">
        <v>166.666667</v>
      </c>
      <c r="AV140">
        <v>0</v>
      </c>
      <c r="AW140">
        <v>1</v>
      </c>
      <c r="AX140">
        <v>-1</v>
      </c>
      <c r="AY140">
        <v>0</v>
      </c>
      <c r="AZ140">
        <v>0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  <c r="CX140">
        <f>Y140*Source!I292</f>
        <v>1325.00000265</v>
      </c>
      <c r="CY140">
        <f t="shared" si="18"/>
        <v>1025.42</v>
      </c>
      <c r="CZ140">
        <f t="shared" si="19"/>
        <v>1025.42</v>
      </c>
      <c r="DA140">
        <f t="shared" si="20"/>
        <v>1</v>
      </c>
      <c r="DB140">
        <v>0</v>
      </c>
    </row>
    <row r="141" spans="1:106" ht="12.75">
      <c r="A141">
        <f>ROW(Source!A325)</f>
        <v>325</v>
      </c>
      <c r="B141">
        <v>34388368</v>
      </c>
      <c r="C141">
        <v>34389212</v>
      </c>
      <c r="D141">
        <v>0</v>
      </c>
      <c r="E141">
        <v>1</v>
      </c>
      <c r="F141">
        <v>1</v>
      </c>
      <c r="G141">
        <v>7157832</v>
      </c>
      <c r="H141">
        <v>3</v>
      </c>
      <c r="I141" t="s">
        <v>62</v>
      </c>
      <c r="K141" t="s">
        <v>348</v>
      </c>
      <c r="L141">
        <v>1371</v>
      </c>
      <c r="N141">
        <v>1013</v>
      </c>
      <c r="O141" t="s">
        <v>165</v>
      </c>
      <c r="P141" t="s">
        <v>165</v>
      </c>
      <c r="Q141">
        <v>1</v>
      </c>
      <c r="W141">
        <v>0</v>
      </c>
      <c r="X141">
        <v>-353308058</v>
      </c>
      <c r="Y141">
        <v>100</v>
      </c>
      <c r="AA141">
        <v>181.36</v>
      </c>
      <c r="AB141">
        <v>0</v>
      </c>
      <c r="AC141">
        <v>0</v>
      </c>
      <c r="AD141">
        <v>0</v>
      </c>
      <c r="AE141">
        <v>181.36</v>
      </c>
      <c r="AF141">
        <v>0</v>
      </c>
      <c r="AG141">
        <v>0</v>
      </c>
      <c r="AH141">
        <v>0</v>
      </c>
      <c r="AI141">
        <v>1</v>
      </c>
      <c r="AJ141">
        <v>1</v>
      </c>
      <c r="AK141">
        <v>1</v>
      </c>
      <c r="AL141">
        <v>1</v>
      </c>
      <c r="AN141">
        <v>0</v>
      </c>
      <c r="AO141">
        <v>0</v>
      </c>
      <c r="AP141">
        <v>0</v>
      </c>
      <c r="AQ141">
        <v>0</v>
      </c>
      <c r="AR141">
        <v>0</v>
      </c>
      <c r="AT141">
        <v>100</v>
      </c>
      <c r="AV141">
        <v>0</v>
      </c>
      <c r="AW141">
        <v>1</v>
      </c>
      <c r="AX141">
        <v>-1</v>
      </c>
      <c r="AY141">
        <v>0</v>
      </c>
      <c r="AZ141">
        <v>0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0</v>
      </c>
      <c r="CX141">
        <f>Y141*Source!I325</f>
        <v>745</v>
      </c>
      <c r="CY141">
        <f t="shared" si="18"/>
        <v>181.36</v>
      </c>
      <c r="CZ141">
        <f t="shared" si="19"/>
        <v>181.36</v>
      </c>
      <c r="DA141">
        <f t="shared" si="20"/>
        <v>1</v>
      </c>
      <c r="DB141">
        <v>0</v>
      </c>
    </row>
    <row r="142" spans="1:106" ht="12.75">
      <c r="A142">
        <f>ROW(Source!A327)</f>
        <v>327</v>
      </c>
      <c r="B142">
        <v>34388368</v>
      </c>
      <c r="C142">
        <v>34389215</v>
      </c>
      <c r="D142">
        <v>0</v>
      </c>
      <c r="E142">
        <v>7157832</v>
      </c>
      <c r="F142">
        <v>1</v>
      </c>
      <c r="G142">
        <v>7157832</v>
      </c>
      <c r="H142">
        <v>3</v>
      </c>
      <c r="I142" t="s">
        <v>62</v>
      </c>
      <c r="K142" t="s">
        <v>358</v>
      </c>
      <c r="L142">
        <v>1371</v>
      </c>
      <c r="N142">
        <v>1013</v>
      </c>
      <c r="O142" t="s">
        <v>165</v>
      </c>
      <c r="P142" t="s">
        <v>165</v>
      </c>
      <c r="Q142">
        <v>1</v>
      </c>
      <c r="W142">
        <v>0</v>
      </c>
      <c r="X142">
        <v>391796212</v>
      </c>
      <c r="Y142">
        <v>100</v>
      </c>
      <c r="AA142">
        <v>130.51</v>
      </c>
      <c r="AB142">
        <v>0</v>
      </c>
      <c r="AC142">
        <v>0</v>
      </c>
      <c r="AD142">
        <v>0</v>
      </c>
      <c r="AE142">
        <v>130.51</v>
      </c>
      <c r="AF142">
        <v>0</v>
      </c>
      <c r="AG142">
        <v>0</v>
      </c>
      <c r="AH142">
        <v>0</v>
      </c>
      <c r="AI142">
        <v>1</v>
      </c>
      <c r="AJ142">
        <v>1</v>
      </c>
      <c r="AK142">
        <v>1</v>
      </c>
      <c r="AL142">
        <v>1</v>
      </c>
      <c r="AN142">
        <v>0</v>
      </c>
      <c r="AO142">
        <v>0</v>
      </c>
      <c r="AP142">
        <v>0</v>
      </c>
      <c r="AQ142">
        <v>0</v>
      </c>
      <c r="AR142">
        <v>0</v>
      </c>
      <c r="AT142">
        <v>100</v>
      </c>
      <c r="AV142">
        <v>0</v>
      </c>
      <c r="AW142">
        <v>1</v>
      </c>
      <c r="AX142">
        <v>-1</v>
      </c>
      <c r="AY142">
        <v>0</v>
      </c>
      <c r="AZ142">
        <v>0</v>
      </c>
      <c r="BB142">
        <v>0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0</v>
      </c>
      <c r="CX142">
        <f>Y142*Source!I327</f>
        <v>745</v>
      </c>
      <c r="CY142">
        <f t="shared" si="18"/>
        <v>130.51</v>
      </c>
      <c r="CZ142">
        <f t="shared" si="19"/>
        <v>130.51</v>
      </c>
      <c r="DA142">
        <f t="shared" si="20"/>
        <v>1</v>
      </c>
      <c r="DB142">
        <v>0</v>
      </c>
    </row>
    <row r="143" spans="1:106" ht="12.75">
      <c r="A143">
        <f>ROW(Source!A331)</f>
        <v>331</v>
      </c>
      <c r="B143">
        <v>34388368</v>
      </c>
      <c r="C143">
        <v>34389220</v>
      </c>
      <c r="D143">
        <v>0</v>
      </c>
      <c r="E143">
        <v>7157832</v>
      </c>
      <c r="F143">
        <v>1</v>
      </c>
      <c r="G143">
        <v>7157832</v>
      </c>
      <c r="H143">
        <v>3</v>
      </c>
      <c r="I143" t="s">
        <v>62</v>
      </c>
      <c r="K143" t="s">
        <v>372</v>
      </c>
      <c r="L143">
        <v>1371</v>
      </c>
      <c r="N143">
        <v>1013</v>
      </c>
      <c r="O143" t="s">
        <v>165</v>
      </c>
      <c r="P143" t="s">
        <v>165</v>
      </c>
      <c r="Q143">
        <v>1</v>
      </c>
      <c r="W143">
        <v>0</v>
      </c>
      <c r="X143">
        <v>-409080022</v>
      </c>
      <c r="Y143">
        <v>1</v>
      </c>
      <c r="AA143">
        <v>22500</v>
      </c>
      <c r="AB143">
        <v>0</v>
      </c>
      <c r="AC143">
        <v>0</v>
      </c>
      <c r="AD143">
        <v>0</v>
      </c>
      <c r="AE143">
        <v>22500</v>
      </c>
      <c r="AF143">
        <v>0</v>
      </c>
      <c r="AG143">
        <v>0</v>
      </c>
      <c r="AH143">
        <v>0</v>
      </c>
      <c r="AI143">
        <v>1</v>
      </c>
      <c r="AJ143">
        <v>1</v>
      </c>
      <c r="AK143">
        <v>1</v>
      </c>
      <c r="AL143">
        <v>1</v>
      </c>
      <c r="AN143">
        <v>0</v>
      </c>
      <c r="AO143">
        <v>0</v>
      </c>
      <c r="AP143">
        <v>0</v>
      </c>
      <c r="AQ143">
        <v>0</v>
      </c>
      <c r="AR143">
        <v>0</v>
      </c>
      <c r="AT143">
        <v>1</v>
      </c>
      <c r="AV143">
        <v>0</v>
      </c>
      <c r="AW143">
        <v>1</v>
      </c>
      <c r="AX143">
        <v>-1</v>
      </c>
      <c r="AY143">
        <v>0</v>
      </c>
      <c r="AZ143">
        <v>0</v>
      </c>
      <c r="BB143">
        <v>0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0</v>
      </c>
      <c r="BO143">
        <v>0</v>
      </c>
      <c r="BP143">
        <v>0</v>
      </c>
      <c r="BQ143">
        <v>0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0</v>
      </c>
      <c r="CX143">
        <f>Y143*Source!I331</f>
        <v>3</v>
      </c>
      <c r="CY143">
        <f t="shared" si="18"/>
        <v>22500</v>
      </c>
      <c r="CZ143">
        <f t="shared" si="19"/>
        <v>22500</v>
      </c>
      <c r="DA143">
        <f t="shared" si="20"/>
        <v>1</v>
      </c>
      <c r="DB143">
        <v>0</v>
      </c>
    </row>
    <row r="144" spans="1:106" ht="12.75">
      <c r="A144">
        <f>ROW(Source!A333)</f>
        <v>333</v>
      </c>
      <c r="B144">
        <v>34388368</v>
      </c>
      <c r="C144">
        <v>34389223</v>
      </c>
      <c r="D144">
        <v>0</v>
      </c>
      <c r="E144">
        <v>7157832</v>
      </c>
      <c r="F144">
        <v>1</v>
      </c>
      <c r="G144">
        <v>7157832</v>
      </c>
      <c r="H144">
        <v>3</v>
      </c>
      <c r="I144" t="s">
        <v>62</v>
      </c>
      <c r="K144" t="s">
        <v>379</v>
      </c>
      <c r="L144">
        <v>1371</v>
      </c>
      <c r="N144">
        <v>1013</v>
      </c>
      <c r="O144" t="s">
        <v>165</v>
      </c>
      <c r="P144" t="s">
        <v>165</v>
      </c>
      <c r="Q144">
        <v>1</v>
      </c>
      <c r="W144">
        <v>0</v>
      </c>
      <c r="X144">
        <v>1594868299</v>
      </c>
      <c r="Y144">
        <v>166.666667</v>
      </c>
      <c r="AA144">
        <v>1025.42</v>
      </c>
      <c r="AB144">
        <v>0</v>
      </c>
      <c r="AC144">
        <v>0</v>
      </c>
      <c r="AD144">
        <v>0</v>
      </c>
      <c r="AE144">
        <v>1025.42</v>
      </c>
      <c r="AF144">
        <v>0</v>
      </c>
      <c r="AG144">
        <v>0</v>
      </c>
      <c r="AH144">
        <v>0</v>
      </c>
      <c r="AI144">
        <v>1</v>
      </c>
      <c r="AJ144">
        <v>1</v>
      </c>
      <c r="AK144">
        <v>1</v>
      </c>
      <c r="AL144">
        <v>1</v>
      </c>
      <c r="AN144">
        <v>0</v>
      </c>
      <c r="AO144">
        <v>0</v>
      </c>
      <c r="AP144">
        <v>0</v>
      </c>
      <c r="AQ144">
        <v>0</v>
      </c>
      <c r="AR144">
        <v>0</v>
      </c>
      <c r="AT144">
        <v>166.666667</v>
      </c>
      <c r="AV144">
        <v>0</v>
      </c>
      <c r="AW144">
        <v>1</v>
      </c>
      <c r="AX144">
        <v>-1</v>
      </c>
      <c r="AY144">
        <v>0</v>
      </c>
      <c r="AZ144">
        <v>0</v>
      </c>
      <c r="BB144">
        <v>0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  <c r="CX144">
        <f>Y144*Source!I333</f>
        <v>620.00000124</v>
      </c>
      <c r="CY144">
        <f t="shared" si="18"/>
        <v>1025.42</v>
      </c>
      <c r="CZ144">
        <f t="shared" si="19"/>
        <v>1025.42</v>
      </c>
      <c r="DA144">
        <f t="shared" si="20"/>
        <v>1</v>
      </c>
      <c r="DB144"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R142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44" ht="12.75">
      <c r="A1">
        <f>ROW(Source!A32)</f>
        <v>32</v>
      </c>
      <c r="B1">
        <v>34388876</v>
      </c>
      <c r="C1">
        <v>34388874</v>
      </c>
      <c r="D1">
        <v>7157835</v>
      </c>
      <c r="E1">
        <v>7157832</v>
      </c>
      <c r="F1">
        <v>1</v>
      </c>
      <c r="G1">
        <v>7157832</v>
      </c>
      <c r="H1">
        <v>1</v>
      </c>
      <c r="I1" t="s">
        <v>399</v>
      </c>
      <c r="K1" t="s">
        <v>400</v>
      </c>
      <c r="L1">
        <v>1191</v>
      </c>
      <c r="N1">
        <v>1013</v>
      </c>
      <c r="O1" t="s">
        <v>401</v>
      </c>
      <c r="P1" t="s">
        <v>401</v>
      </c>
      <c r="Q1">
        <v>1</v>
      </c>
      <c r="X1">
        <v>192.7</v>
      </c>
      <c r="Y1">
        <v>0</v>
      </c>
      <c r="Z1">
        <v>0</v>
      </c>
      <c r="AA1">
        <v>0</v>
      </c>
      <c r="AB1">
        <v>0</v>
      </c>
      <c r="AC1">
        <v>0</v>
      </c>
      <c r="AD1">
        <v>1</v>
      </c>
      <c r="AE1">
        <v>1</v>
      </c>
      <c r="AF1" t="s">
        <v>27</v>
      </c>
      <c r="AG1">
        <v>221.60499999999996</v>
      </c>
      <c r="AH1">
        <v>2</v>
      </c>
      <c r="AI1">
        <v>34388875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ht="12.75">
      <c r="A2">
        <f>ROW(Source!A33)</f>
        <v>33</v>
      </c>
      <c r="B2">
        <v>34388881</v>
      </c>
      <c r="C2">
        <v>34388877</v>
      </c>
      <c r="D2">
        <v>7157835</v>
      </c>
      <c r="E2">
        <v>7157832</v>
      </c>
      <c r="F2">
        <v>1</v>
      </c>
      <c r="G2">
        <v>7157832</v>
      </c>
      <c r="H2">
        <v>1</v>
      </c>
      <c r="I2" t="s">
        <v>399</v>
      </c>
      <c r="K2" t="s">
        <v>400</v>
      </c>
      <c r="L2">
        <v>1191</v>
      </c>
      <c r="N2">
        <v>1013</v>
      </c>
      <c r="O2" t="s">
        <v>401</v>
      </c>
      <c r="P2" t="s">
        <v>401</v>
      </c>
      <c r="Q2">
        <v>1</v>
      </c>
      <c r="X2">
        <v>10.2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1</v>
      </c>
      <c r="AF2" t="s">
        <v>27</v>
      </c>
      <c r="AG2">
        <v>11.729999999999999</v>
      </c>
      <c r="AH2">
        <v>2</v>
      </c>
      <c r="AI2">
        <v>34388878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ht="12.75">
      <c r="A3">
        <f>ROW(Source!A33)</f>
        <v>33</v>
      </c>
      <c r="B3">
        <v>34388882</v>
      </c>
      <c r="C3">
        <v>34388877</v>
      </c>
      <c r="D3">
        <v>7230897</v>
      </c>
      <c r="E3">
        <v>1</v>
      </c>
      <c r="F3">
        <v>1</v>
      </c>
      <c r="G3">
        <v>7157832</v>
      </c>
      <c r="H3">
        <v>2</v>
      </c>
      <c r="I3" t="s">
        <v>402</v>
      </c>
      <c r="J3" t="s">
        <v>403</v>
      </c>
      <c r="K3" t="s">
        <v>404</v>
      </c>
      <c r="L3">
        <v>1368</v>
      </c>
      <c r="N3">
        <v>1011</v>
      </c>
      <c r="O3" t="s">
        <v>211</v>
      </c>
      <c r="P3" t="s">
        <v>211</v>
      </c>
      <c r="Q3">
        <v>1</v>
      </c>
      <c r="X3">
        <v>0.32</v>
      </c>
      <c r="Y3">
        <v>0</v>
      </c>
      <c r="Z3">
        <v>73</v>
      </c>
      <c r="AA3">
        <v>16.9</v>
      </c>
      <c r="AB3">
        <v>0</v>
      </c>
      <c r="AC3">
        <v>0</v>
      </c>
      <c r="AD3">
        <v>1</v>
      </c>
      <c r="AE3">
        <v>0</v>
      </c>
      <c r="AF3" t="s">
        <v>27</v>
      </c>
      <c r="AG3">
        <v>0.368</v>
      </c>
      <c r="AH3">
        <v>2</v>
      </c>
      <c r="AI3">
        <v>34388879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ht="12.75">
      <c r="A4">
        <f>ROW(Source!A33)</f>
        <v>33</v>
      </c>
      <c r="B4">
        <v>34388883</v>
      </c>
      <c r="C4">
        <v>34388877</v>
      </c>
      <c r="D4">
        <v>7177504</v>
      </c>
      <c r="E4">
        <v>7157832</v>
      </c>
      <c r="F4">
        <v>1</v>
      </c>
      <c r="G4">
        <v>7157832</v>
      </c>
      <c r="H4">
        <v>3</v>
      </c>
      <c r="I4" t="s">
        <v>501</v>
      </c>
      <c r="K4" t="s">
        <v>502</v>
      </c>
      <c r="L4">
        <v>1339</v>
      </c>
      <c r="N4">
        <v>1007</v>
      </c>
      <c r="O4" t="s">
        <v>42</v>
      </c>
      <c r="P4" t="s">
        <v>42</v>
      </c>
      <c r="Q4">
        <v>1</v>
      </c>
      <c r="X4">
        <v>11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G4">
        <v>11</v>
      </c>
      <c r="AH4">
        <v>3</v>
      </c>
      <c r="AI4">
        <v>-1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ht="12.75">
      <c r="A5">
        <f>ROW(Source!A37)</f>
        <v>37</v>
      </c>
      <c r="B5">
        <v>34388892</v>
      </c>
      <c r="C5">
        <v>34388888</v>
      </c>
      <c r="D5">
        <v>7157835</v>
      </c>
      <c r="E5">
        <v>7157832</v>
      </c>
      <c r="F5">
        <v>1</v>
      </c>
      <c r="G5">
        <v>7157832</v>
      </c>
      <c r="H5">
        <v>1</v>
      </c>
      <c r="I5" t="s">
        <v>399</v>
      </c>
      <c r="K5" t="s">
        <v>400</v>
      </c>
      <c r="L5">
        <v>1191</v>
      </c>
      <c r="N5">
        <v>1013</v>
      </c>
      <c r="O5" t="s">
        <v>401</v>
      </c>
      <c r="P5" t="s">
        <v>401</v>
      </c>
      <c r="Q5">
        <v>1</v>
      </c>
      <c r="X5">
        <v>133</v>
      </c>
      <c r="Y5">
        <v>0</v>
      </c>
      <c r="Z5">
        <v>0</v>
      </c>
      <c r="AA5">
        <v>0</v>
      </c>
      <c r="AB5">
        <v>0</v>
      </c>
      <c r="AC5">
        <v>0</v>
      </c>
      <c r="AD5">
        <v>1</v>
      </c>
      <c r="AE5">
        <v>1</v>
      </c>
      <c r="AF5" t="s">
        <v>27</v>
      </c>
      <c r="AG5">
        <v>152.95</v>
      </c>
      <c r="AH5">
        <v>2</v>
      </c>
      <c r="AI5">
        <v>34388889</v>
      </c>
      <c r="AJ5">
        <v>6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ht="12.75">
      <c r="A6">
        <f>ROW(Source!A37)</f>
        <v>37</v>
      </c>
      <c r="B6">
        <v>34388893</v>
      </c>
      <c r="C6">
        <v>34388888</v>
      </c>
      <c r="D6">
        <v>7182707</v>
      </c>
      <c r="E6">
        <v>7157832</v>
      </c>
      <c r="F6">
        <v>1</v>
      </c>
      <c r="G6">
        <v>7157832</v>
      </c>
      <c r="H6">
        <v>3</v>
      </c>
      <c r="I6" t="s">
        <v>405</v>
      </c>
      <c r="K6" t="s">
        <v>406</v>
      </c>
      <c r="L6">
        <v>1344</v>
      </c>
      <c r="N6">
        <v>1008</v>
      </c>
      <c r="O6" t="s">
        <v>407</v>
      </c>
      <c r="P6" t="s">
        <v>407</v>
      </c>
      <c r="Q6">
        <v>1</v>
      </c>
      <c r="X6">
        <v>44.38</v>
      </c>
      <c r="Y6">
        <v>1</v>
      </c>
      <c r="Z6">
        <v>0</v>
      </c>
      <c r="AA6">
        <v>0</v>
      </c>
      <c r="AB6">
        <v>0</v>
      </c>
      <c r="AC6">
        <v>0</v>
      </c>
      <c r="AD6">
        <v>1</v>
      </c>
      <c r="AE6">
        <v>0</v>
      </c>
      <c r="AG6">
        <v>44.38</v>
      </c>
      <c r="AH6">
        <v>2</v>
      </c>
      <c r="AI6">
        <v>34388890</v>
      </c>
      <c r="AJ6">
        <v>7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ht="12.75">
      <c r="A7">
        <f>ROW(Source!A37)</f>
        <v>37</v>
      </c>
      <c r="B7">
        <v>34388894</v>
      </c>
      <c r="C7">
        <v>34388888</v>
      </c>
      <c r="D7">
        <v>7163124</v>
      </c>
      <c r="E7">
        <v>7157832</v>
      </c>
      <c r="F7">
        <v>1</v>
      </c>
      <c r="G7">
        <v>7157832</v>
      </c>
      <c r="H7">
        <v>3</v>
      </c>
      <c r="I7" t="s">
        <v>503</v>
      </c>
      <c r="K7" t="s">
        <v>504</v>
      </c>
      <c r="L7">
        <v>1301</v>
      </c>
      <c r="N7">
        <v>1003</v>
      </c>
      <c r="O7" t="s">
        <v>158</v>
      </c>
      <c r="P7" t="s">
        <v>158</v>
      </c>
      <c r="Q7">
        <v>1</v>
      </c>
      <c r="X7">
        <v>1000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G7">
        <v>1000</v>
      </c>
      <c r="AH7">
        <v>3</v>
      </c>
      <c r="AI7">
        <v>-1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ht="12.75">
      <c r="A8">
        <f>ROW(Source!A39)</f>
        <v>39</v>
      </c>
      <c r="B8">
        <v>34388899</v>
      </c>
      <c r="C8">
        <v>34388896</v>
      </c>
      <c r="D8">
        <v>7157835</v>
      </c>
      <c r="E8">
        <v>7157832</v>
      </c>
      <c r="F8">
        <v>1</v>
      </c>
      <c r="G8">
        <v>7157832</v>
      </c>
      <c r="H8">
        <v>1</v>
      </c>
      <c r="I8" t="s">
        <v>399</v>
      </c>
      <c r="K8" t="s">
        <v>400</v>
      </c>
      <c r="L8">
        <v>1191</v>
      </c>
      <c r="N8">
        <v>1013</v>
      </c>
      <c r="O8" t="s">
        <v>401</v>
      </c>
      <c r="P8" t="s">
        <v>401</v>
      </c>
      <c r="Q8">
        <v>1</v>
      </c>
      <c r="X8">
        <v>107.04</v>
      </c>
      <c r="Y8">
        <v>0</v>
      </c>
      <c r="Z8">
        <v>0</v>
      </c>
      <c r="AA8">
        <v>0</v>
      </c>
      <c r="AB8">
        <v>0</v>
      </c>
      <c r="AC8">
        <v>0</v>
      </c>
      <c r="AD8">
        <v>1</v>
      </c>
      <c r="AE8">
        <v>1</v>
      </c>
      <c r="AF8" t="s">
        <v>27</v>
      </c>
      <c r="AG8">
        <v>123.096</v>
      </c>
      <c r="AH8">
        <v>2</v>
      </c>
      <c r="AI8">
        <v>34388897</v>
      </c>
      <c r="AJ8">
        <v>9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ht="12.75">
      <c r="A9">
        <f>ROW(Source!A41)</f>
        <v>41</v>
      </c>
      <c r="B9">
        <v>34388904</v>
      </c>
      <c r="C9">
        <v>34388901</v>
      </c>
      <c r="D9">
        <v>7157835</v>
      </c>
      <c r="E9">
        <v>7157832</v>
      </c>
      <c r="F9">
        <v>1</v>
      </c>
      <c r="G9">
        <v>7157832</v>
      </c>
      <c r="H9">
        <v>1</v>
      </c>
      <c r="I9" t="s">
        <v>399</v>
      </c>
      <c r="K9" t="s">
        <v>400</v>
      </c>
      <c r="L9">
        <v>1191</v>
      </c>
      <c r="N9">
        <v>1013</v>
      </c>
      <c r="O9" t="s">
        <v>401</v>
      </c>
      <c r="P9" t="s">
        <v>401</v>
      </c>
      <c r="Q9">
        <v>1</v>
      </c>
      <c r="X9">
        <v>3.04</v>
      </c>
      <c r="Y9">
        <v>0</v>
      </c>
      <c r="Z9">
        <v>0</v>
      </c>
      <c r="AA9">
        <v>0</v>
      </c>
      <c r="AB9">
        <v>0</v>
      </c>
      <c r="AC9">
        <v>0</v>
      </c>
      <c r="AD9">
        <v>1</v>
      </c>
      <c r="AE9">
        <v>1</v>
      </c>
      <c r="AF9" t="s">
        <v>27</v>
      </c>
      <c r="AG9">
        <v>3.4959999999999996</v>
      </c>
      <c r="AH9">
        <v>2</v>
      </c>
      <c r="AI9">
        <v>34388902</v>
      </c>
      <c r="AJ9">
        <v>11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ht="12.75">
      <c r="A10">
        <f>ROW(Source!A41)</f>
        <v>41</v>
      </c>
      <c r="B10">
        <v>34388905</v>
      </c>
      <c r="C10">
        <v>34388901</v>
      </c>
      <c r="D10">
        <v>7163661</v>
      </c>
      <c r="E10">
        <v>7157832</v>
      </c>
      <c r="F10">
        <v>1</v>
      </c>
      <c r="G10">
        <v>7157832</v>
      </c>
      <c r="H10">
        <v>3</v>
      </c>
      <c r="I10" t="s">
        <v>505</v>
      </c>
      <c r="K10" t="s">
        <v>506</v>
      </c>
      <c r="L10">
        <v>1346</v>
      </c>
      <c r="N10">
        <v>1009</v>
      </c>
      <c r="O10" t="s">
        <v>307</v>
      </c>
      <c r="P10" t="s">
        <v>307</v>
      </c>
      <c r="Q10">
        <v>1</v>
      </c>
      <c r="X10">
        <v>1.957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G10">
        <v>1.957</v>
      </c>
      <c r="AH10">
        <v>3</v>
      </c>
      <c r="AI10">
        <v>-1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ht="12.75">
      <c r="A11">
        <f>ROW(Source!A43)</f>
        <v>43</v>
      </c>
      <c r="B11">
        <v>34388909</v>
      </c>
      <c r="C11">
        <v>34388907</v>
      </c>
      <c r="D11">
        <v>7157835</v>
      </c>
      <c r="E11">
        <v>7157832</v>
      </c>
      <c r="F11">
        <v>1</v>
      </c>
      <c r="G11">
        <v>7157832</v>
      </c>
      <c r="H11">
        <v>1</v>
      </c>
      <c r="I11" t="s">
        <v>399</v>
      </c>
      <c r="K11" t="s">
        <v>400</v>
      </c>
      <c r="L11">
        <v>1191</v>
      </c>
      <c r="N11">
        <v>1013</v>
      </c>
      <c r="O11" t="s">
        <v>401</v>
      </c>
      <c r="P11" t="s">
        <v>401</v>
      </c>
      <c r="Q11">
        <v>1</v>
      </c>
      <c r="X11">
        <v>107.04</v>
      </c>
      <c r="Y11">
        <v>0</v>
      </c>
      <c r="Z11">
        <v>0</v>
      </c>
      <c r="AA11">
        <v>0</v>
      </c>
      <c r="AB11">
        <v>0</v>
      </c>
      <c r="AC11">
        <v>0</v>
      </c>
      <c r="AD11">
        <v>1</v>
      </c>
      <c r="AE11">
        <v>1</v>
      </c>
      <c r="AF11" t="s">
        <v>27</v>
      </c>
      <c r="AG11">
        <v>123.096</v>
      </c>
      <c r="AH11">
        <v>2</v>
      </c>
      <c r="AI11">
        <v>34388908</v>
      </c>
      <c r="AJ11">
        <v>13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ht="12.75">
      <c r="A12">
        <f>ROW(Source!A44)</f>
        <v>44</v>
      </c>
      <c r="B12">
        <v>34388912</v>
      </c>
      <c r="C12">
        <v>34388910</v>
      </c>
      <c r="D12">
        <v>7157835</v>
      </c>
      <c r="E12">
        <v>7157832</v>
      </c>
      <c r="F12">
        <v>1</v>
      </c>
      <c r="G12">
        <v>7157832</v>
      </c>
      <c r="H12">
        <v>1</v>
      </c>
      <c r="I12" t="s">
        <v>399</v>
      </c>
      <c r="K12" t="s">
        <v>400</v>
      </c>
      <c r="L12">
        <v>1191</v>
      </c>
      <c r="N12">
        <v>1013</v>
      </c>
      <c r="O12" t="s">
        <v>401</v>
      </c>
      <c r="P12" t="s">
        <v>401</v>
      </c>
      <c r="Q12">
        <v>1</v>
      </c>
      <c r="X12">
        <v>83</v>
      </c>
      <c r="Y12">
        <v>0</v>
      </c>
      <c r="Z12">
        <v>0</v>
      </c>
      <c r="AA12">
        <v>0</v>
      </c>
      <c r="AB12">
        <v>0</v>
      </c>
      <c r="AC12">
        <v>0</v>
      </c>
      <c r="AD12">
        <v>1</v>
      </c>
      <c r="AE12">
        <v>1</v>
      </c>
      <c r="AG12">
        <v>83</v>
      </c>
      <c r="AH12">
        <v>2</v>
      </c>
      <c r="AI12">
        <v>34388911</v>
      </c>
      <c r="AJ12">
        <v>14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ht="12.75">
      <c r="A13">
        <f>ROW(Source!A154)</f>
        <v>154</v>
      </c>
      <c r="B13">
        <v>34388937</v>
      </c>
      <c r="C13">
        <v>34388932</v>
      </c>
      <c r="D13">
        <v>7157835</v>
      </c>
      <c r="E13">
        <v>7157832</v>
      </c>
      <c r="F13">
        <v>1</v>
      </c>
      <c r="G13">
        <v>7157832</v>
      </c>
      <c r="H13">
        <v>1</v>
      </c>
      <c r="I13" t="s">
        <v>399</v>
      </c>
      <c r="K13" t="s">
        <v>400</v>
      </c>
      <c r="L13">
        <v>1191</v>
      </c>
      <c r="N13">
        <v>1013</v>
      </c>
      <c r="O13" t="s">
        <v>401</v>
      </c>
      <c r="P13" t="s">
        <v>401</v>
      </c>
      <c r="Q13">
        <v>1</v>
      </c>
      <c r="X13">
        <v>38.24</v>
      </c>
      <c r="Y13">
        <v>0</v>
      </c>
      <c r="Z13">
        <v>0</v>
      </c>
      <c r="AA13">
        <v>0</v>
      </c>
      <c r="AB13">
        <v>0</v>
      </c>
      <c r="AC13">
        <v>0</v>
      </c>
      <c r="AD13">
        <v>1</v>
      </c>
      <c r="AE13">
        <v>1</v>
      </c>
      <c r="AG13">
        <v>38.24</v>
      </c>
      <c r="AH13">
        <v>2</v>
      </c>
      <c r="AI13">
        <v>34388933</v>
      </c>
      <c r="AJ13">
        <v>17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ht="12.75">
      <c r="A14">
        <f>ROW(Source!A154)</f>
        <v>154</v>
      </c>
      <c r="B14">
        <v>34388938</v>
      </c>
      <c r="C14">
        <v>34388932</v>
      </c>
      <c r="D14">
        <v>7231126</v>
      </c>
      <c r="E14">
        <v>1</v>
      </c>
      <c r="F14">
        <v>1</v>
      </c>
      <c r="G14">
        <v>7157832</v>
      </c>
      <c r="H14">
        <v>2</v>
      </c>
      <c r="I14" t="s">
        <v>408</v>
      </c>
      <c r="J14" t="s">
        <v>409</v>
      </c>
      <c r="K14" t="s">
        <v>410</v>
      </c>
      <c r="L14">
        <v>1368</v>
      </c>
      <c r="N14">
        <v>1011</v>
      </c>
      <c r="O14" t="s">
        <v>211</v>
      </c>
      <c r="P14" t="s">
        <v>211</v>
      </c>
      <c r="Q14">
        <v>1</v>
      </c>
      <c r="X14">
        <v>7.7</v>
      </c>
      <c r="Y14">
        <v>0</v>
      </c>
      <c r="Z14">
        <v>41.62</v>
      </c>
      <c r="AA14">
        <v>13.33</v>
      </c>
      <c r="AB14">
        <v>0</v>
      </c>
      <c r="AC14">
        <v>0</v>
      </c>
      <c r="AD14">
        <v>1</v>
      </c>
      <c r="AE14">
        <v>0</v>
      </c>
      <c r="AG14">
        <v>7.7</v>
      </c>
      <c r="AH14">
        <v>2</v>
      </c>
      <c r="AI14">
        <v>34388934</v>
      </c>
      <c r="AJ14">
        <v>18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ht="12.75">
      <c r="A15">
        <f>ROW(Source!A154)</f>
        <v>154</v>
      </c>
      <c r="B15">
        <v>34388939</v>
      </c>
      <c r="C15">
        <v>34388932</v>
      </c>
      <c r="D15">
        <v>7231489</v>
      </c>
      <c r="E15">
        <v>1</v>
      </c>
      <c r="F15">
        <v>1</v>
      </c>
      <c r="G15">
        <v>7157832</v>
      </c>
      <c r="H15">
        <v>2</v>
      </c>
      <c r="I15" t="s">
        <v>411</v>
      </c>
      <c r="J15" t="s">
        <v>412</v>
      </c>
      <c r="K15" t="s">
        <v>413</v>
      </c>
      <c r="L15">
        <v>1368</v>
      </c>
      <c r="N15">
        <v>1011</v>
      </c>
      <c r="O15" t="s">
        <v>211</v>
      </c>
      <c r="P15" t="s">
        <v>211</v>
      </c>
      <c r="Q15">
        <v>1</v>
      </c>
      <c r="X15">
        <v>7.7</v>
      </c>
      <c r="Y15">
        <v>0</v>
      </c>
      <c r="Z15">
        <v>3.16</v>
      </c>
      <c r="AA15">
        <v>0.04</v>
      </c>
      <c r="AB15">
        <v>0</v>
      </c>
      <c r="AC15">
        <v>0</v>
      </c>
      <c r="AD15">
        <v>1</v>
      </c>
      <c r="AE15">
        <v>0</v>
      </c>
      <c r="AG15">
        <v>7.7</v>
      </c>
      <c r="AH15">
        <v>2</v>
      </c>
      <c r="AI15">
        <v>34388935</v>
      </c>
      <c r="AJ15">
        <v>19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ht="12.75">
      <c r="A16">
        <f>ROW(Source!A154)</f>
        <v>154</v>
      </c>
      <c r="B16">
        <v>34388940</v>
      </c>
      <c r="C16">
        <v>34388932</v>
      </c>
      <c r="D16">
        <v>7182702</v>
      </c>
      <c r="E16">
        <v>7157832</v>
      </c>
      <c r="F16">
        <v>1</v>
      </c>
      <c r="G16">
        <v>7157832</v>
      </c>
      <c r="H16">
        <v>3</v>
      </c>
      <c r="I16" t="s">
        <v>405</v>
      </c>
      <c r="K16" t="s">
        <v>414</v>
      </c>
      <c r="L16">
        <v>1348</v>
      </c>
      <c r="N16">
        <v>1009</v>
      </c>
      <c r="O16" t="s">
        <v>265</v>
      </c>
      <c r="P16" t="s">
        <v>265</v>
      </c>
      <c r="Q16">
        <v>1000</v>
      </c>
      <c r="X16">
        <v>6.1</v>
      </c>
      <c r="Y16">
        <v>0</v>
      </c>
      <c r="Z16">
        <v>0</v>
      </c>
      <c r="AA16">
        <v>0</v>
      </c>
      <c r="AB16">
        <v>0</v>
      </c>
      <c r="AC16">
        <v>0</v>
      </c>
      <c r="AD16">
        <v>1</v>
      </c>
      <c r="AE16">
        <v>0</v>
      </c>
      <c r="AG16">
        <v>6.1</v>
      </c>
      <c r="AH16">
        <v>2</v>
      </c>
      <c r="AI16">
        <v>34388936</v>
      </c>
      <c r="AJ16">
        <v>20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ht="12.75">
      <c r="A17">
        <f>ROW(Source!A155)</f>
        <v>155</v>
      </c>
      <c r="B17">
        <v>34388946</v>
      </c>
      <c r="C17">
        <v>34388941</v>
      </c>
      <c r="D17">
        <v>7157835</v>
      </c>
      <c r="E17">
        <v>7157832</v>
      </c>
      <c r="F17">
        <v>1</v>
      </c>
      <c r="G17">
        <v>7157832</v>
      </c>
      <c r="H17">
        <v>1</v>
      </c>
      <c r="I17" t="s">
        <v>399</v>
      </c>
      <c r="K17" t="s">
        <v>400</v>
      </c>
      <c r="L17">
        <v>1191</v>
      </c>
      <c r="N17">
        <v>1013</v>
      </c>
      <c r="O17" t="s">
        <v>401</v>
      </c>
      <c r="P17" t="s">
        <v>401</v>
      </c>
      <c r="Q17">
        <v>1</v>
      </c>
      <c r="X17">
        <v>38.24</v>
      </c>
      <c r="Y17">
        <v>0</v>
      </c>
      <c r="Z17">
        <v>0</v>
      </c>
      <c r="AA17">
        <v>0</v>
      </c>
      <c r="AB17">
        <v>0</v>
      </c>
      <c r="AC17">
        <v>0</v>
      </c>
      <c r="AD17">
        <v>1</v>
      </c>
      <c r="AE17">
        <v>1</v>
      </c>
      <c r="AG17">
        <v>38.24</v>
      </c>
      <c r="AH17">
        <v>2</v>
      </c>
      <c r="AI17">
        <v>34388942</v>
      </c>
      <c r="AJ17">
        <v>21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ht="12.75">
      <c r="A18">
        <f>ROW(Source!A155)</f>
        <v>155</v>
      </c>
      <c r="B18">
        <v>34388947</v>
      </c>
      <c r="C18">
        <v>34388941</v>
      </c>
      <c r="D18">
        <v>7231126</v>
      </c>
      <c r="E18">
        <v>1</v>
      </c>
      <c r="F18">
        <v>1</v>
      </c>
      <c r="G18">
        <v>7157832</v>
      </c>
      <c r="H18">
        <v>2</v>
      </c>
      <c r="I18" t="s">
        <v>408</v>
      </c>
      <c r="J18" t="s">
        <v>409</v>
      </c>
      <c r="K18" t="s">
        <v>410</v>
      </c>
      <c r="L18">
        <v>1368</v>
      </c>
      <c r="N18">
        <v>1011</v>
      </c>
      <c r="O18" t="s">
        <v>211</v>
      </c>
      <c r="P18" t="s">
        <v>211</v>
      </c>
      <c r="Q18">
        <v>1</v>
      </c>
      <c r="X18">
        <v>7.7</v>
      </c>
      <c r="Y18">
        <v>0</v>
      </c>
      <c r="Z18">
        <v>41.62</v>
      </c>
      <c r="AA18">
        <v>13.33</v>
      </c>
      <c r="AB18">
        <v>0</v>
      </c>
      <c r="AC18">
        <v>0</v>
      </c>
      <c r="AD18">
        <v>1</v>
      </c>
      <c r="AE18">
        <v>0</v>
      </c>
      <c r="AG18">
        <v>7.7</v>
      </c>
      <c r="AH18">
        <v>2</v>
      </c>
      <c r="AI18">
        <v>34388943</v>
      </c>
      <c r="AJ18">
        <v>22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ht="12.75">
      <c r="A19">
        <f>ROW(Source!A155)</f>
        <v>155</v>
      </c>
      <c r="B19">
        <v>34388948</v>
      </c>
      <c r="C19">
        <v>34388941</v>
      </c>
      <c r="D19">
        <v>7231489</v>
      </c>
      <c r="E19">
        <v>1</v>
      </c>
      <c r="F19">
        <v>1</v>
      </c>
      <c r="G19">
        <v>7157832</v>
      </c>
      <c r="H19">
        <v>2</v>
      </c>
      <c r="I19" t="s">
        <v>411</v>
      </c>
      <c r="J19" t="s">
        <v>412</v>
      </c>
      <c r="K19" t="s">
        <v>413</v>
      </c>
      <c r="L19">
        <v>1368</v>
      </c>
      <c r="N19">
        <v>1011</v>
      </c>
      <c r="O19" t="s">
        <v>211</v>
      </c>
      <c r="P19" t="s">
        <v>211</v>
      </c>
      <c r="Q19">
        <v>1</v>
      </c>
      <c r="X19">
        <v>7.7</v>
      </c>
      <c r="Y19">
        <v>0</v>
      </c>
      <c r="Z19">
        <v>3.16</v>
      </c>
      <c r="AA19">
        <v>0.04</v>
      </c>
      <c r="AB19">
        <v>0</v>
      </c>
      <c r="AC19">
        <v>0</v>
      </c>
      <c r="AD19">
        <v>1</v>
      </c>
      <c r="AE19">
        <v>0</v>
      </c>
      <c r="AG19">
        <v>7.7</v>
      </c>
      <c r="AH19">
        <v>2</v>
      </c>
      <c r="AI19">
        <v>34388944</v>
      </c>
      <c r="AJ19">
        <v>23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ht="12.75">
      <c r="A20">
        <f>ROW(Source!A155)</f>
        <v>155</v>
      </c>
      <c r="B20">
        <v>34388949</v>
      </c>
      <c r="C20">
        <v>34388941</v>
      </c>
      <c r="D20">
        <v>7182702</v>
      </c>
      <c r="E20">
        <v>7157832</v>
      </c>
      <c r="F20">
        <v>1</v>
      </c>
      <c r="G20">
        <v>7157832</v>
      </c>
      <c r="H20">
        <v>3</v>
      </c>
      <c r="I20" t="s">
        <v>405</v>
      </c>
      <c r="K20" t="s">
        <v>414</v>
      </c>
      <c r="L20">
        <v>1348</v>
      </c>
      <c r="N20">
        <v>1009</v>
      </c>
      <c r="O20" t="s">
        <v>265</v>
      </c>
      <c r="P20" t="s">
        <v>265</v>
      </c>
      <c r="Q20">
        <v>1000</v>
      </c>
      <c r="X20">
        <v>6.1</v>
      </c>
      <c r="Y20">
        <v>0</v>
      </c>
      <c r="Z20">
        <v>0</v>
      </c>
      <c r="AA20">
        <v>0</v>
      </c>
      <c r="AB20">
        <v>0</v>
      </c>
      <c r="AC20">
        <v>0</v>
      </c>
      <c r="AD20">
        <v>1</v>
      </c>
      <c r="AE20">
        <v>0</v>
      </c>
      <c r="AG20">
        <v>6.1</v>
      </c>
      <c r="AH20">
        <v>2</v>
      </c>
      <c r="AI20">
        <v>34388945</v>
      </c>
      <c r="AJ20">
        <v>24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ht="12.75">
      <c r="A21">
        <f>ROW(Source!A156)</f>
        <v>156</v>
      </c>
      <c r="B21">
        <v>34388955</v>
      </c>
      <c r="C21">
        <v>34388950</v>
      </c>
      <c r="D21">
        <v>7157835</v>
      </c>
      <c r="E21">
        <v>7157832</v>
      </c>
      <c r="F21">
        <v>1</v>
      </c>
      <c r="G21">
        <v>7157832</v>
      </c>
      <c r="H21">
        <v>1</v>
      </c>
      <c r="I21" t="s">
        <v>399</v>
      </c>
      <c r="K21" t="s">
        <v>400</v>
      </c>
      <c r="L21">
        <v>1191</v>
      </c>
      <c r="N21">
        <v>1013</v>
      </c>
      <c r="O21" t="s">
        <v>401</v>
      </c>
      <c r="P21" t="s">
        <v>401</v>
      </c>
      <c r="Q21">
        <v>1</v>
      </c>
      <c r="X21">
        <v>38.24</v>
      </c>
      <c r="Y21">
        <v>0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1</v>
      </c>
      <c r="AG21">
        <v>38.24</v>
      </c>
      <c r="AH21">
        <v>2</v>
      </c>
      <c r="AI21">
        <v>34388951</v>
      </c>
      <c r="AJ21">
        <v>25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ht="12.75">
      <c r="A22">
        <f>ROW(Source!A156)</f>
        <v>156</v>
      </c>
      <c r="B22">
        <v>34388956</v>
      </c>
      <c r="C22">
        <v>34388950</v>
      </c>
      <c r="D22">
        <v>7231126</v>
      </c>
      <c r="E22">
        <v>1</v>
      </c>
      <c r="F22">
        <v>1</v>
      </c>
      <c r="G22">
        <v>7157832</v>
      </c>
      <c r="H22">
        <v>2</v>
      </c>
      <c r="I22" t="s">
        <v>408</v>
      </c>
      <c r="J22" t="s">
        <v>409</v>
      </c>
      <c r="K22" t="s">
        <v>410</v>
      </c>
      <c r="L22">
        <v>1368</v>
      </c>
      <c r="N22">
        <v>1011</v>
      </c>
      <c r="O22" t="s">
        <v>211</v>
      </c>
      <c r="P22" t="s">
        <v>211</v>
      </c>
      <c r="Q22">
        <v>1</v>
      </c>
      <c r="X22">
        <v>7.7</v>
      </c>
      <c r="Y22">
        <v>0</v>
      </c>
      <c r="Z22">
        <v>41.62</v>
      </c>
      <c r="AA22">
        <v>13.33</v>
      </c>
      <c r="AB22">
        <v>0</v>
      </c>
      <c r="AC22">
        <v>0</v>
      </c>
      <c r="AD22">
        <v>1</v>
      </c>
      <c r="AE22">
        <v>0</v>
      </c>
      <c r="AG22">
        <v>7.7</v>
      </c>
      <c r="AH22">
        <v>2</v>
      </c>
      <c r="AI22">
        <v>34388952</v>
      </c>
      <c r="AJ22">
        <v>26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ht="12.75">
      <c r="A23">
        <f>ROW(Source!A156)</f>
        <v>156</v>
      </c>
      <c r="B23">
        <v>34388957</v>
      </c>
      <c r="C23">
        <v>34388950</v>
      </c>
      <c r="D23">
        <v>7231489</v>
      </c>
      <c r="E23">
        <v>1</v>
      </c>
      <c r="F23">
        <v>1</v>
      </c>
      <c r="G23">
        <v>7157832</v>
      </c>
      <c r="H23">
        <v>2</v>
      </c>
      <c r="I23" t="s">
        <v>411</v>
      </c>
      <c r="J23" t="s">
        <v>412</v>
      </c>
      <c r="K23" t="s">
        <v>413</v>
      </c>
      <c r="L23">
        <v>1368</v>
      </c>
      <c r="N23">
        <v>1011</v>
      </c>
      <c r="O23" t="s">
        <v>211</v>
      </c>
      <c r="P23" t="s">
        <v>211</v>
      </c>
      <c r="Q23">
        <v>1</v>
      </c>
      <c r="X23">
        <v>7.7</v>
      </c>
      <c r="Y23">
        <v>0</v>
      </c>
      <c r="Z23">
        <v>3.16</v>
      </c>
      <c r="AA23">
        <v>0.04</v>
      </c>
      <c r="AB23">
        <v>0</v>
      </c>
      <c r="AC23">
        <v>0</v>
      </c>
      <c r="AD23">
        <v>1</v>
      </c>
      <c r="AE23">
        <v>0</v>
      </c>
      <c r="AG23">
        <v>7.7</v>
      </c>
      <c r="AH23">
        <v>2</v>
      </c>
      <c r="AI23">
        <v>34388953</v>
      </c>
      <c r="AJ23">
        <v>27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ht="12.75">
      <c r="A24">
        <f>ROW(Source!A156)</f>
        <v>156</v>
      </c>
      <c r="B24">
        <v>34388958</v>
      </c>
      <c r="C24">
        <v>34388950</v>
      </c>
      <c r="D24">
        <v>7182702</v>
      </c>
      <c r="E24">
        <v>7157832</v>
      </c>
      <c r="F24">
        <v>1</v>
      </c>
      <c r="G24">
        <v>7157832</v>
      </c>
      <c r="H24">
        <v>3</v>
      </c>
      <c r="I24" t="s">
        <v>405</v>
      </c>
      <c r="K24" t="s">
        <v>414</v>
      </c>
      <c r="L24">
        <v>1348</v>
      </c>
      <c r="N24">
        <v>1009</v>
      </c>
      <c r="O24" t="s">
        <v>265</v>
      </c>
      <c r="P24" t="s">
        <v>265</v>
      </c>
      <c r="Q24">
        <v>1000</v>
      </c>
      <c r="X24">
        <v>6.1</v>
      </c>
      <c r="Y24">
        <v>0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0</v>
      </c>
      <c r="AG24">
        <v>6.1</v>
      </c>
      <c r="AH24">
        <v>2</v>
      </c>
      <c r="AI24">
        <v>34388954</v>
      </c>
      <c r="AJ24">
        <v>28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ht="12.75">
      <c r="A25">
        <f>ROW(Source!A157)</f>
        <v>157</v>
      </c>
      <c r="B25">
        <v>34388964</v>
      </c>
      <c r="C25">
        <v>34388959</v>
      </c>
      <c r="D25">
        <v>7157835</v>
      </c>
      <c r="E25">
        <v>7157832</v>
      </c>
      <c r="F25">
        <v>1</v>
      </c>
      <c r="G25">
        <v>7157832</v>
      </c>
      <c r="H25">
        <v>1</v>
      </c>
      <c r="I25" t="s">
        <v>399</v>
      </c>
      <c r="K25" t="s">
        <v>400</v>
      </c>
      <c r="L25">
        <v>1191</v>
      </c>
      <c r="N25">
        <v>1013</v>
      </c>
      <c r="O25" t="s">
        <v>401</v>
      </c>
      <c r="P25" t="s">
        <v>401</v>
      </c>
      <c r="Q25">
        <v>1</v>
      </c>
      <c r="X25">
        <v>38.24</v>
      </c>
      <c r="Y25">
        <v>0</v>
      </c>
      <c r="Z25">
        <v>0</v>
      </c>
      <c r="AA25">
        <v>0</v>
      </c>
      <c r="AB25">
        <v>0</v>
      </c>
      <c r="AC25">
        <v>0</v>
      </c>
      <c r="AD25">
        <v>1</v>
      </c>
      <c r="AE25">
        <v>1</v>
      </c>
      <c r="AG25">
        <v>38.24</v>
      </c>
      <c r="AH25">
        <v>2</v>
      </c>
      <c r="AI25">
        <v>34388960</v>
      </c>
      <c r="AJ25">
        <v>29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ht="12.75">
      <c r="A26">
        <f>ROW(Source!A157)</f>
        <v>157</v>
      </c>
      <c r="B26">
        <v>34388965</v>
      </c>
      <c r="C26">
        <v>34388959</v>
      </c>
      <c r="D26">
        <v>7231126</v>
      </c>
      <c r="E26">
        <v>1</v>
      </c>
      <c r="F26">
        <v>1</v>
      </c>
      <c r="G26">
        <v>7157832</v>
      </c>
      <c r="H26">
        <v>2</v>
      </c>
      <c r="I26" t="s">
        <v>408</v>
      </c>
      <c r="J26" t="s">
        <v>409</v>
      </c>
      <c r="K26" t="s">
        <v>410</v>
      </c>
      <c r="L26">
        <v>1368</v>
      </c>
      <c r="N26">
        <v>1011</v>
      </c>
      <c r="O26" t="s">
        <v>211</v>
      </c>
      <c r="P26" t="s">
        <v>211</v>
      </c>
      <c r="Q26">
        <v>1</v>
      </c>
      <c r="X26">
        <v>7.7</v>
      </c>
      <c r="Y26">
        <v>0</v>
      </c>
      <c r="Z26">
        <v>41.62</v>
      </c>
      <c r="AA26">
        <v>13.33</v>
      </c>
      <c r="AB26">
        <v>0</v>
      </c>
      <c r="AC26">
        <v>0</v>
      </c>
      <c r="AD26">
        <v>1</v>
      </c>
      <c r="AE26">
        <v>0</v>
      </c>
      <c r="AG26">
        <v>7.7</v>
      </c>
      <c r="AH26">
        <v>2</v>
      </c>
      <c r="AI26">
        <v>34388961</v>
      </c>
      <c r="AJ26">
        <v>30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ht="12.75">
      <c r="A27">
        <f>ROW(Source!A157)</f>
        <v>157</v>
      </c>
      <c r="B27">
        <v>34388966</v>
      </c>
      <c r="C27">
        <v>34388959</v>
      </c>
      <c r="D27">
        <v>7231489</v>
      </c>
      <c r="E27">
        <v>1</v>
      </c>
      <c r="F27">
        <v>1</v>
      </c>
      <c r="G27">
        <v>7157832</v>
      </c>
      <c r="H27">
        <v>2</v>
      </c>
      <c r="I27" t="s">
        <v>411</v>
      </c>
      <c r="J27" t="s">
        <v>412</v>
      </c>
      <c r="K27" t="s">
        <v>413</v>
      </c>
      <c r="L27">
        <v>1368</v>
      </c>
      <c r="N27">
        <v>1011</v>
      </c>
      <c r="O27" t="s">
        <v>211</v>
      </c>
      <c r="P27" t="s">
        <v>211</v>
      </c>
      <c r="Q27">
        <v>1</v>
      </c>
      <c r="X27">
        <v>7.7</v>
      </c>
      <c r="Y27">
        <v>0</v>
      </c>
      <c r="Z27">
        <v>3.16</v>
      </c>
      <c r="AA27">
        <v>0.04</v>
      </c>
      <c r="AB27">
        <v>0</v>
      </c>
      <c r="AC27">
        <v>0</v>
      </c>
      <c r="AD27">
        <v>1</v>
      </c>
      <c r="AE27">
        <v>0</v>
      </c>
      <c r="AG27">
        <v>7.7</v>
      </c>
      <c r="AH27">
        <v>2</v>
      </c>
      <c r="AI27">
        <v>34388962</v>
      </c>
      <c r="AJ27">
        <v>31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ht="12.75">
      <c r="A28">
        <f>ROW(Source!A157)</f>
        <v>157</v>
      </c>
      <c r="B28">
        <v>34388967</v>
      </c>
      <c r="C28">
        <v>34388959</v>
      </c>
      <c r="D28">
        <v>7182702</v>
      </c>
      <c r="E28">
        <v>7157832</v>
      </c>
      <c r="F28">
        <v>1</v>
      </c>
      <c r="G28">
        <v>7157832</v>
      </c>
      <c r="H28">
        <v>3</v>
      </c>
      <c r="I28" t="s">
        <v>405</v>
      </c>
      <c r="K28" t="s">
        <v>414</v>
      </c>
      <c r="L28">
        <v>1348</v>
      </c>
      <c r="N28">
        <v>1009</v>
      </c>
      <c r="O28" t="s">
        <v>265</v>
      </c>
      <c r="P28" t="s">
        <v>265</v>
      </c>
      <c r="Q28">
        <v>1000</v>
      </c>
      <c r="X28">
        <v>6.1</v>
      </c>
      <c r="Y28">
        <v>0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0</v>
      </c>
      <c r="AG28">
        <v>6.1</v>
      </c>
      <c r="AH28">
        <v>2</v>
      </c>
      <c r="AI28">
        <v>34388963</v>
      </c>
      <c r="AJ28">
        <v>32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ht="12.75">
      <c r="A29">
        <f>ROW(Source!A158)</f>
        <v>158</v>
      </c>
      <c r="B29">
        <v>34388973</v>
      </c>
      <c r="C29">
        <v>34388968</v>
      </c>
      <c r="D29">
        <v>7157835</v>
      </c>
      <c r="E29">
        <v>7157832</v>
      </c>
      <c r="F29">
        <v>1</v>
      </c>
      <c r="G29">
        <v>7157832</v>
      </c>
      <c r="H29">
        <v>1</v>
      </c>
      <c r="I29" t="s">
        <v>399</v>
      </c>
      <c r="K29" t="s">
        <v>400</v>
      </c>
      <c r="L29">
        <v>1191</v>
      </c>
      <c r="N29">
        <v>1013</v>
      </c>
      <c r="O29" t="s">
        <v>401</v>
      </c>
      <c r="P29" t="s">
        <v>401</v>
      </c>
      <c r="Q29">
        <v>1</v>
      </c>
      <c r="X29">
        <v>38.24</v>
      </c>
      <c r="Y29">
        <v>0</v>
      </c>
      <c r="Z29">
        <v>0</v>
      </c>
      <c r="AA29">
        <v>0</v>
      </c>
      <c r="AB29">
        <v>0</v>
      </c>
      <c r="AC29">
        <v>0</v>
      </c>
      <c r="AD29">
        <v>1</v>
      </c>
      <c r="AE29">
        <v>1</v>
      </c>
      <c r="AG29">
        <v>38.24</v>
      </c>
      <c r="AH29">
        <v>2</v>
      </c>
      <c r="AI29">
        <v>34388969</v>
      </c>
      <c r="AJ29">
        <v>33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ht="12.75">
      <c r="A30">
        <f>ROW(Source!A158)</f>
        <v>158</v>
      </c>
      <c r="B30">
        <v>34388974</v>
      </c>
      <c r="C30">
        <v>34388968</v>
      </c>
      <c r="D30">
        <v>7231126</v>
      </c>
      <c r="E30">
        <v>1</v>
      </c>
      <c r="F30">
        <v>1</v>
      </c>
      <c r="G30">
        <v>7157832</v>
      </c>
      <c r="H30">
        <v>2</v>
      </c>
      <c r="I30" t="s">
        <v>408</v>
      </c>
      <c r="J30" t="s">
        <v>409</v>
      </c>
      <c r="K30" t="s">
        <v>410</v>
      </c>
      <c r="L30">
        <v>1368</v>
      </c>
      <c r="N30">
        <v>1011</v>
      </c>
      <c r="O30" t="s">
        <v>211</v>
      </c>
      <c r="P30" t="s">
        <v>211</v>
      </c>
      <c r="Q30">
        <v>1</v>
      </c>
      <c r="X30">
        <v>7.7</v>
      </c>
      <c r="Y30">
        <v>0</v>
      </c>
      <c r="Z30">
        <v>41.62</v>
      </c>
      <c r="AA30">
        <v>13.33</v>
      </c>
      <c r="AB30">
        <v>0</v>
      </c>
      <c r="AC30">
        <v>0</v>
      </c>
      <c r="AD30">
        <v>1</v>
      </c>
      <c r="AE30">
        <v>0</v>
      </c>
      <c r="AG30">
        <v>7.7</v>
      </c>
      <c r="AH30">
        <v>2</v>
      </c>
      <c r="AI30">
        <v>34388970</v>
      </c>
      <c r="AJ30">
        <v>34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ht="12.75">
      <c r="A31">
        <f>ROW(Source!A158)</f>
        <v>158</v>
      </c>
      <c r="B31">
        <v>34388975</v>
      </c>
      <c r="C31">
        <v>34388968</v>
      </c>
      <c r="D31">
        <v>7231489</v>
      </c>
      <c r="E31">
        <v>1</v>
      </c>
      <c r="F31">
        <v>1</v>
      </c>
      <c r="G31">
        <v>7157832</v>
      </c>
      <c r="H31">
        <v>2</v>
      </c>
      <c r="I31" t="s">
        <v>411</v>
      </c>
      <c r="J31" t="s">
        <v>412</v>
      </c>
      <c r="K31" t="s">
        <v>413</v>
      </c>
      <c r="L31">
        <v>1368</v>
      </c>
      <c r="N31">
        <v>1011</v>
      </c>
      <c r="O31" t="s">
        <v>211</v>
      </c>
      <c r="P31" t="s">
        <v>211</v>
      </c>
      <c r="Q31">
        <v>1</v>
      </c>
      <c r="X31">
        <v>7.7</v>
      </c>
      <c r="Y31">
        <v>0</v>
      </c>
      <c r="Z31">
        <v>3.16</v>
      </c>
      <c r="AA31">
        <v>0.04</v>
      </c>
      <c r="AB31">
        <v>0</v>
      </c>
      <c r="AC31">
        <v>0</v>
      </c>
      <c r="AD31">
        <v>1</v>
      </c>
      <c r="AE31">
        <v>0</v>
      </c>
      <c r="AG31">
        <v>7.7</v>
      </c>
      <c r="AH31">
        <v>2</v>
      </c>
      <c r="AI31">
        <v>34388971</v>
      </c>
      <c r="AJ31">
        <v>35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ht="12.75">
      <c r="A32">
        <f>ROW(Source!A158)</f>
        <v>158</v>
      </c>
      <c r="B32">
        <v>34388976</v>
      </c>
      <c r="C32">
        <v>34388968</v>
      </c>
      <c r="D32">
        <v>7182702</v>
      </c>
      <c r="E32">
        <v>7157832</v>
      </c>
      <c r="F32">
        <v>1</v>
      </c>
      <c r="G32">
        <v>7157832</v>
      </c>
      <c r="H32">
        <v>3</v>
      </c>
      <c r="I32" t="s">
        <v>405</v>
      </c>
      <c r="K32" t="s">
        <v>414</v>
      </c>
      <c r="L32">
        <v>1348</v>
      </c>
      <c r="N32">
        <v>1009</v>
      </c>
      <c r="O32" t="s">
        <v>265</v>
      </c>
      <c r="P32" t="s">
        <v>265</v>
      </c>
      <c r="Q32">
        <v>1000</v>
      </c>
      <c r="X32">
        <v>6.1</v>
      </c>
      <c r="Y32">
        <v>0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0</v>
      </c>
      <c r="AG32">
        <v>6.1</v>
      </c>
      <c r="AH32">
        <v>2</v>
      </c>
      <c r="AI32">
        <v>34388972</v>
      </c>
      <c r="AJ32">
        <v>36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ht="12.75">
      <c r="A33">
        <f>ROW(Source!A159)</f>
        <v>159</v>
      </c>
      <c r="B33">
        <v>34388986</v>
      </c>
      <c r="C33">
        <v>34388977</v>
      </c>
      <c r="D33">
        <v>7157835</v>
      </c>
      <c r="E33">
        <v>7157832</v>
      </c>
      <c r="F33">
        <v>1</v>
      </c>
      <c r="G33">
        <v>7157832</v>
      </c>
      <c r="H33">
        <v>1</v>
      </c>
      <c r="I33" t="s">
        <v>399</v>
      </c>
      <c r="K33" t="s">
        <v>400</v>
      </c>
      <c r="L33">
        <v>1191</v>
      </c>
      <c r="N33">
        <v>1013</v>
      </c>
      <c r="O33" t="s">
        <v>401</v>
      </c>
      <c r="P33" t="s">
        <v>401</v>
      </c>
      <c r="Q33">
        <v>1</v>
      </c>
      <c r="X33">
        <v>14.4</v>
      </c>
      <c r="Y33">
        <v>0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1</v>
      </c>
      <c r="AG33">
        <v>14.4</v>
      </c>
      <c r="AH33">
        <v>2</v>
      </c>
      <c r="AI33">
        <v>34388978</v>
      </c>
      <c r="AJ33">
        <v>37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ht="12.75">
      <c r="A34">
        <f>ROW(Source!A159)</f>
        <v>159</v>
      </c>
      <c r="B34">
        <v>34388987</v>
      </c>
      <c r="C34">
        <v>34388977</v>
      </c>
      <c r="D34">
        <v>7230769</v>
      </c>
      <c r="E34">
        <v>1</v>
      </c>
      <c r="F34">
        <v>1</v>
      </c>
      <c r="G34">
        <v>7157832</v>
      </c>
      <c r="H34">
        <v>2</v>
      </c>
      <c r="I34" t="s">
        <v>415</v>
      </c>
      <c r="J34" t="s">
        <v>416</v>
      </c>
      <c r="K34" t="s">
        <v>417</v>
      </c>
      <c r="L34">
        <v>1368</v>
      </c>
      <c r="N34">
        <v>1011</v>
      </c>
      <c r="O34" t="s">
        <v>211</v>
      </c>
      <c r="P34" t="s">
        <v>211</v>
      </c>
      <c r="Q34">
        <v>1</v>
      </c>
      <c r="X34">
        <v>1.66</v>
      </c>
      <c r="Y34">
        <v>0</v>
      </c>
      <c r="Z34">
        <v>116.89</v>
      </c>
      <c r="AA34">
        <v>23.41</v>
      </c>
      <c r="AB34">
        <v>0</v>
      </c>
      <c r="AC34">
        <v>0</v>
      </c>
      <c r="AD34">
        <v>1</v>
      </c>
      <c r="AE34">
        <v>0</v>
      </c>
      <c r="AG34">
        <v>1.66</v>
      </c>
      <c r="AH34">
        <v>2</v>
      </c>
      <c r="AI34">
        <v>34388979</v>
      </c>
      <c r="AJ34">
        <v>38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ht="12.75">
      <c r="A35">
        <f>ROW(Source!A159)</f>
        <v>159</v>
      </c>
      <c r="B35">
        <v>34388988</v>
      </c>
      <c r="C35">
        <v>34388977</v>
      </c>
      <c r="D35">
        <v>7230974</v>
      </c>
      <c r="E35">
        <v>1</v>
      </c>
      <c r="F35">
        <v>1</v>
      </c>
      <c r="G35">
        <v>7157832</v>
      </c>
      <c r="H35">
        <v>2</v>
      </c>
      <c r="I35" t="s">
        <v>418</v>
      </c>
      <c r="J35" t="s">
        <v>419</v>
      </c>
      <c r="K35" t="s">
        <v>420</v>
      </c>
      <c r="L35">
        <v>1368</v>
      </c>
      <c r="N35">
        <v>1011</v>
      </c>
      <c r="O35" t="s">
        <v>211</v>
      </c>
      <c r="P35" t="s">
        <v>211</v>
      </c>
      <c r="Q35">
        <v>1</v>
      </c>
      <c r="X35">
        <v>1.66</v>
      </c>
      <c r="Y35">
        <v>0</v>
      </c>
      <c r="Z35">
        <v>62.97</v>
      </c>
      <c r="AA35">
        <v>6.64</v>
      </c>
      <c r="AB35">
        <v>0</v>
      </c>
      <c r="AC35">
        <v>0</v>
      </c>
      <c r="AD35">
        <v>1</v>
      </c>
      <c r="AE35">
        <v>0</v>
      </c>
      <c r="AG35">
        <v>1.66</v>
      </c>
      <c r="AH35">
        <v>2</v>
      </c>
      <c r="AI35">
        <v>34388980</v>
      </c>
      <c r="AJ35">
        <v>39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ht="12.75">
      <c r="A36">
        <f>ROW(Source!A159)</f>
        <v>159</v>
      </c>
      <c r="B36">
        <v>34388989</v>
      </c>
      <c r="C36">
        <v>34388977</v>
      </c>
      <c r="D36">
        <v>7230977</v>
      </c>
      <c r="E36">
        <v>1</v>
      </c>
      <c r="F36">
        <v>1</v>
      </c>
      <c r="G36">
        <v>7157832</v>
      </c>
      <c r="H36">
        <v>2</v>
      </c>
      <c r="I36" t="s">
        <v>421</v>
      </c>
      <c r="J36" t="s">
        <v>422</v>
      </c>
      <c r="K36" t="s">
        <v>423</v>
      </c>
      <c r="L36">
        <v>1368</v>
      </c>
      <c r="N36">
        <v>1011</v>
      </c>
      <c r="O36" t="s">
        <v>211</v>
      </c>
      <c r="P36" t="s">
        <v>211</v>
      </c>
      <c r="Q36">
        <v>1</v>
      </c>
      <c r="X36">
        <v>0.65</v>
      </c>
      <c r="Y36">
        <v>0</v>
      </c>
      <c r="Z36">
        <v>140.58</v>
      </c>
      <c r="AA36">
        <v>28.61</v>
      </c>
      <c r="AB36">
        <v>0</v>
      </c>
      <c r="AC36">
        <v>0</v>
      </c>
      <c r="AD36">
        <v>1</v>
      </c>
      <c r="AE36">
        <v>0</v>
      </c>
      <c r="AG36">
        <v>0.65</v>
      </c>
      <c r="AH36">
        <v>2</v>
      </c>
      <c r="AI36">
        <v>34388981</v>
      </c>
      <c r="AJ36">
        <v>40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ht="12.75">
      <c r="A37">
        <f>ROW(Source!A159)</f>
        <v>159</v>
      </c>
      <c r="B37">
        <v>34388990</v>
      </c>
      <c r="C37">
        <v>34388977</v>
      </c>
      <c r="D37">
        <v>7231005</v>
      </c>
      <c r="E37">
        <v>1</v>
      </c>
      <c r="F37">
        <v>1</v>
      </c>
      <c r="G37">
        <v>7157832</v>
      </c>
      <c r="H37">
        <v>2</v>
      </c>
      <c r="I37" t="s">
        <v>424</v>
      </c>
      <c r="J37" t="s">
        <v>425</v>
      </c>
      <c r="K37" t="s">
        <v>426</v>
      </c>
      <c r="L37">
        <v>1368</v>
      </c>
      <c r="N37">
        <v>1011</v>
      </c>
      <c r="O37" t="s">
        <v>211</v>
      </c>
      <c r="P37" t="s">
        <v>211</v>
      </c>
      <c r="Q37">
        <v>1</v>
      </c>
      <c r="X37">
        <v>1.55</v>
      </c>
      <c r="Y37">
        <v>0</v>
      </c>
      <c r="Z37">
        <v>125.13</v>
      </c>
      <c r="AA37">
        <v>24.74</v>
      </c>
      <c r="AB37">
        <v>0</v>
      </c>
      <c r="AC37">
        <v>0</v>
      </c>
      <c r="AD37">
        <v>1</v>
      </c>
      <c r="AE37">
        <v>0</v>
      </c>
      <c r="AG37">
        <v>1.55</v>
      </c>
      <c r="AH37">
        <v>2</v>
      </c>
      <c r="AI37">
        <v>34388982</v>
      </c>
      <c r="AJ37">
        <v>41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ht="12.75">
      <c r="A38">
        <f>ROW(Source!A159)</f>
        <v>159</v>
      </c>
      <c r="B38">
        <v>34388991</v>
      </c>
      <c r="C38">
        <v>34388977</v>
      </c>
      <c r="D38">
        <v>7230967</v>
      </c>
      <c r="E38">
        <v>1</v>
      </c>
      <c r="F38">
        <v>1</v>
      </c>
      <c r="G38">
        <v>7157832</v>
      </c>
      <c r="H38">
        <v>2</v>
      </c>
      <c r="I38" t="s">
        <v>427</v>
      </c>
      <c r="J38" t="s">
        <v>428</v>
      </c>
      <c r="K38" t="s">
        <v>429</v>
      </c>
      <c r="L38">
        <v>1368</v>
      </c>
      <c r="N38">
        <v>1011</v>
      </c>
      <c r="O38" t="s">
        <v>211</v>
      </c>
      <c r="P38" t="s">
        <v>211</v>
      </c>
      <c r="Q38">
        <v>1</v>
      </c>
      <c r="X38">
        <v>0.52</v>
      </c>
      <c r="Y38">
        <v>0</v>
      </c>
      <c r="Z38">
        <v>178.02</v>
      </c>
      <c r="AA38">
        <v>23.5</v>
      </c>
      <c r="AB38">
        <v>0</v>
      </c>
      <c r="AC38">
        <v>0</v>
      </c>
      <c r="AD38">
        <v>1</v>
      </c>
      <c r="AE38">
        <v>0</v>
      </c>
      <c r="AG38">
        <v>0.52</v>
      </c>
      <c r="AH38">
        <v>2</v>
      </c>
      <c r="AI38">
        <v>34388983</v>
      </c>
      <c r="AJ38">
        <v>42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ht="12.75">
      <c r="A39">
        <f>ROW(Source!A159)</f>
        <v>159</v>
      </c>
      <c r="B39">
        <v>34388992</v>
      </c>
      <c r="C39">
        <v>34388977</v>
      </c>
      <c r="D39">
        <v>7231827</v>
      </c>
      <c r="E39">
        <v>1</v>
      </c>
      <c r="F39">
        <v>1</v>
      </c>
      <c r="G39">
        <v>7157832</v>
      </c>
      <c r="H39">
        <v>3</v>
      </c>
      <c r="I39" t="s">
        <v>430</v>
      </c>
      <c r="J39" t="s">
        <v>431</v>
      </c>
      <c r="K39" t="s">
        <v>432</v>
      </c>
      <c r="L39">
        <v>1339</v>
      </c>
      <c r="N39">
        <v>1007</v>
      </c>
      <c r="O39" t="s">
        <v>42</v>
      </c>
      <c r="P39" t="s">
        <v>42</v>
      </c>
      <c r="Q39">
        <v>1</v>
      </c>
      <c r="X39">
        <v>5</v>
      </c>
      <c r="Y39">
        <v>7.07</v>
      </c>
      <c r="Z39">
        <v>0</v>
      </c>
      <c r="AA39">
        <v>0</v>
      </c>
      <c r="AB39">
        <v>0</v>
      </c>
      <c r="AC39">
        <v>0</v>
      </c>
      <c r="AD39">
        <v>1</v>
      </c>
      <c r="AE39">
        <v>0</v>
      </c>
      <c r="AG39">
        <v>5</v>
      </c>
      <c r="AH39">
        <v>2</v>
      </c>
      <c r="AI39">
        <v>34388984</v>
      </c>
      <c r="AJ39">
        <v>43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ht="12.75">
      <c r="A40">
        <f>ROW(Source!A159)</f>
        <v>159</v>
      </c>
      <c r="B40">
        <v>34388993</v>
      </c>
      <c r="C40">
        <v>34388977</v>
      </c>
      <c r="D40">
        <v>7177504</v>
      </c>
      <c r="E40">
        <v>7157832</v>
      </c>
      <c r="F40">
        <v>1</v>
      </c>
      <c r="G40">
        <v>7157832</v>
      </c>
      <c r="H40">
        <v>3</v>
      </c>
      <c r="I40" t="s">
        <v>501</v>
      </c>
      <c r="K40" t="s">
        <v>507</v>
      </c>
      <c r="L40">
        <v>1339</v>
      </c>
      <c r="N40">
        <v>1007</v>
      </c>
      <c r="O40" t="s">
        <v>42</v>
      </c>
      <c r="P40" t="s">
        <v>42</v>
      </c>
      <c r="Q40">
        <v>1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G40">
        <v>0</v>
      </c>
      <c r="AH40">
        <v>3</v>
      </c>
      <c r="AI40">
        <v>-1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ht="12.75">
      <c r="A41">
        <f>ROW(Source!A161)</f>
        <v>161</v>
      </c>
      <c r="B41">
        <v>34389005</v>
      </c>
      <c r="C41">
        <v>34388995</v>
      </c>
      <c r="D41">
        <v>7157835</v>
      </c>
      <c r="E41">
        <v>7157832</v>
      </c>
      <c r="F41">
        <v>1</v>
      </c>
      <c r="G41">
        <v>7157832</v>
      </c>
      <c r="H41">
        <v>1</v>
      </c>
      <c r="I41" t="s">
        <v>399</v>
      </c>
      <c r="K41" t="s">
        <v>400</v>
      </c>
      <c r="L41">
        <v>1191</v>
      </c>
      <c r="N41">
        <v>1013</v>
      </c>
      <c r="O41" t="s">
        <v>401</v>
      </c>
      <c r="P41" t="s">
        <v>401</v>
      </c>
      <c r="Q41">
        <v>1</v>
      </c>
      <c r="X41">
        <v>21.6</v>
      </c>
      <c r="Y41">
        <v>0</v>
      </c>
      <c r="Z41">
        <v>0</v>
      </c>
      <c r="AA41">
        <v>0</v>
      </c>
      <c r="AB41">
        <v>0</v>
      </c>
      <c r="AC41">
        <v>0</v>
      </c>
      <c r="AD41">
        <v>1</v>
      </c>
      <c r="AE41">
        <v>1</v>
      </c>
      <c r="AG41">
        <v>21.6</v>
      </c>
      <c r="AH41">
        <v>2</v>
      </c>
      <c r="AI41">
        <v>34388996</v>
      </c>
      <c r="AJ41">
        <v>45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ht="12.75">
      <c r="A42">
        <f>ROW(Source!A161)</f>
        <v>161</v>
      </c>
      <c r="B42">
        <v>34389006</v>
      </c>
      <c r="C42">
        <v>34388995</v>
      </c>
      <c r="D42">
        <v>7230749</v>
      </c>
      <c r="E42">
        <v>1</v>
      </c>
      <c r="F42">
        <v>1</v>
      </c>
      <c r="G42">
        <v>7157832</v>
      </c>
      <c r="H42">
        <v>2</v>
      </c>
      <c r="I42" t="s">
        <v>433</v>
      </c>
      <c r="J42" t="s">
        <v>434</v>
      </c>
      <c r="K42" t="s">
        <v>435</v>
      </c>
      <c r="L42">
        <v>1368</v>
      </c>
      <c r="N42">
        <v>1011</v>
      </c>
      <c r="O42" t="s">
        <v>211</v>
      </c>
      <c r="P42" t="s">
        <v>211</v>
      </c>
      <c r="Q42">
        <v>1</v>
      </c>
      <c r="X42">
        <v>2.35</v>
      </c>
      <c r="Y42">
        <v>0</v>
      </c>
      <c r="Z42">
        <v>95.06</v>
      </c>
      <c r="AA42">
        <v>22.22</v>
      </c>
      <c r="AB42">
        <v>0</v>
      </c>
      <c r="AC42">
        <v>0</v>
      </c>
      <c r="AD42">
        <v>1</v>
      </c>
      <c r="AE42">
        <v>0</v>
      </c>
      <c r="AG42">
        <v>2.35</v>
      </c>
      <c r="AH42">
        <v>2</v>
      </c>
      <c r="AI42">
        <v>34388997</v>
      </c>
      <c r="AJ42">
        <v>46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ht="12.75">
      <c r="A43">
        <f>ROW(Source!A161)</f>
        <v>161</v>
      </c>
      <c r="B43">
        <v>34389007</v>
      </c>
      <c r="C43">
        <v>34388995</v>
      </c>
      <c r="D43">
        <v>7230977</v>
      </c>
      <c r="E43">
        <v>1</v>
      </c>
      <c r="F43">
        <v>1</v>
      </c>
      <c r="G43">
        <v>7157832</v>
      </c>
      <c r="H43">
        <v>2</v>
      </c>
      <c r="I43" t="s">
        <v>421</v>
      </c>
      <c r="J43" t="s">
        <v>422</v>
      </c>
      <c r="K43" t="s">
        <v>423</v>
      </c>
      <c r="L43">
        <v>1368</v>
      </c>
      <c r="N43">
        <v>1011</v>
      </c>
      <c r="O43" t="s">
        <v>211</v>
      </c>
      <c r="P43" t="s">
        <v>211</v>
      </c>
      <c r="Q43">
        <v>1</v>
      </c>
      <c r="X43">
        <v>0.91</v>
      </c>
      <c r="Y43">
        <v>0</v>
      </c>
      <c r="Z43">
        <v>140.58</v>
      </c>
      <c r="AA43">
        <v>28.61</v>
      </c>
      <c r="AB43">
        <v>0</v>
      </c>
      <c r="AC43">
        <v>0</v>
      </c>
      <c r="AD43">
        <v>1</v>
      </c>
      <c r="AE43">
        <v>0</v>
      </c>
      <c r="AG43">
        <v>0.91</v>
      </c>
      <c r="AH43">
        <v>2</v>
      </c>
      <c r="AI43">
        <v>34388998</v>
      </c>
      <c r="AJ43">
        <v>47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ht="12.75">
      <c r="A44">
        <f>ROW(Source!A161)</f>
        <v>161</v>
      </c>
      <c r="B44">
        <v>34389008</v>
      </c>
      <c r="C44">
        <v>34388995</v>
      </c>
      <c r="D44">
        <v>7230962</v>
      </c>
      <c r="E44">
        <v>1</v>
      </c>
      <c r="F44">
        <v>1</v>
      </c>
      <c r="G44">
        <v>7157832</v>
      </c>
      <c r="H44">
        <v>2</v>
      </c>
      <c r="I44" t="s">
        <v>436</v>
      </c>
      <c r="J44" t="s">
        <v>437</v>
      </c>
      <c r="K44" t="s">
        <v>438</v>
      </c>
      <c r="L44">
        <v>1368</v>
      </c>
      <c r="N44">
        <v>1011</v>
      </c>
      <c r="O44" t="s">
        <v>211</v>
      </c>
      <c r="P44" t="s">
        <v>211</v>
      </c>
      <c r="Q44">
        <v>1</v>
      </c>
      <c r="X44">
        <v>7.17</v>
      </c>
      <c r="Y44">
        <v>0</v>
      </c>
      <c r="Z44">
        <v>84.82</v>
      </c>
      <c r="AA44">
        <v>22.85</v>
      </c>
      <c r="AB44">
        <v>0</v>
      </c>
      <c r="AC44">
        <v>0</v>
      </c>
      <c r="AD44">
        <v>1</v>
      </c>
      <c r="AE44">
        <v>0</v>
      </c>
      <c r="AG44">
        <v>7.17</v>
      </c>
      <c r="AH44">
        <v>2</v>
      </c>
      <c r="AI44">
        <v>34388999</v>
      </c>
      <c r="AJ44">
        <v>48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ht="12.75">
      <c r="A45">
        <f>ROW(Source!A161)</f>
        <v>161</v>
      </c>
      <c r="B45">
        <v>34389009</v>
      </c>
      <c r="C45">
        <v>34388995</v>
      </c>
      <c r="D45">
        <v>7230963</v>
      </c>
      <c r="E45">
        <v>1</v>
      </c>
      <c r="F45">
        <v>1</v>
      </c>
      <c r="G45">
        <v>7157832</v>
      </c>
      <c r="H45">
        <v>2</v>
      </c>
      <c r="I45" t="s">
        <v>439</v>
      </c>
      <c r="J45" t="s">
        <v>440</v>
      </c>
      <c r="K45" t="s">
        <v>441</v>
      </c>
      <c r="L45">
        <v>1368</v>
      </c>
      <c r="N45">
        <v>1011</v>
      </c>
      <c r="O45" t="s">
        <v>211</v>
      </c>
      <c r="P45" t="s">
        <v>211</v>
      </c>
      <c r="Q45">
        <v>1</v>
      </c>
      <c r="X45">
        <v>14.6</v>
      </c>
      <c r="Y45">
        <v>0</v>
      </c>
      <c r="Z45">
        <v>119.77</v>
      </c>
      <c r="AA45">
        <v>22.85</v>
      </c>
      <c r="AB45">
        <v>0</v>
      </c>
      <c r="AC45">
        <v>0</v>
      </c>
      <c r="AD45">
        <v>1</v>
      </c>
      <c r="AE45">
        <v>0</v>
      </c>
      <c r="AG45">
        <v>14.6</v>
      </c>
      <c r="AH45">
        <v>2</v>
      </c>
      <c r="AI45">
        <v>34389000</v>
      </c>
      <c r="AJ45">
        <v>49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ht="12.75">
      <c r="A46">
        <f>ROW(Source!A161)</f>
        <v>161</v>
      </c>
      <c r="B46">
        <v>34389010</v>
      </c>
      <c r="C46">
        <v>34388995</v>
      </c>
      <c r="D46">
        <v>7231005</v>
      </c>
      <c r="E46">
        <v>1</v>
      </c>
      <c r="F46">
        <v>1</v>
      </c>
      <c r="G46">
        <v>7157832</v>
      </c>
      <c r="H46">
        <v>2</v>
      </c>
      <c r="I46" t="s">
        <v>424</v>
      </c>
      <c r="J46" t="s">
        <v>425</v>
      </c>
      <c r="K46" t="s">
        <v>426</v>
      </c>
      <c r="L46">
        <v>1368</v>
      </c>
      <c r="N46">
        <v>1011</v>
      </c>
      <c r="O46" t="s">
        <v>211</v>
      </c>
      <c r="P46" t="s">
        <v>211</v>
      </c>
      <c r="Q46">
        <v>1</v>
      </c>
      <c r="X46">
        <v>1.79</v>
      </c>
      <c r="Y46">
        <v>0</v>
      </c>
      <c r="Z46">
        <v>125.13</v>
      </c>
      <c r="AA46">
        <v>24.74</v>
      </c>
      <c r="AB46">
        <v>0</v>
      </c>
      <c r="AC46">
        <v>0</v>
      </c>
      <c r="AD46">
        <v>1</v>
      </c>
      <c r="AE46">
        <v>0</v>
      </c>
      <c r="AG46">
        <v>1.79</v>
      </c>
      <c r="AH46">
        <v>2</v>
      </c>
      <c r="AI46">
        <v>34389001</v>
      </c>
      <c r="AJ46">
        <v>50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ht="12.75">
      <c r="A47">
        <f>ROW(Source!A161)</f>
        <v>161</v>
      </c>
      <c r="B47">
        <v>34389011</v>
      </c>
      <c r="C47">
        <v>34388995</v>
      </c>
      <c r="D47">
        <v>7230967</v>
      </c>
      <c r="E47">
        <v>1</v>
      </c>
      <c r="F47">
        <v>1</v>
      </c>
      <c r="G47">
        <v>7157832</v>
      </c>
      <c r="H47">
        <v>2</v>
      </c>
      <c r="I47" t="s">
        <v>427</v>
      </c>
      <c r="J47" t="s">
        <v>428</v>
      </c>
      <c r="K47" t="s">
        <v>429</v>
      </c>
      <c r="L47">
        <v>1368</v>
      </c>
      <c r="N47">
        <v>1011</v>
      </c>
      <c r="O47" t="s">
        <v>211</v>
      </c>
      <c r="P47" t="s">
        <v>211</v>
      </c>
      <c r="Q47">
        <v>1</v>
      </c>
      <c r="X47">
        <v>0.52</v>
      </c>
      <c r="Y47">
        <v>0</v>
      </c>
      <c r="Z47">
        <v>178.02</v>
      </c>
      <c r="AA47">
        <v>23.5</v>
      </c>
      <c r="AB47">
        <v>0</v>
      </c>
      <c r="AC47">
        <v>0</v>
      </c>
      <c r="AD47">
        <v>1</v>
      </c>
      <c r="AE47">
        <v>0</v>
      </c>
      <c r="AG47">
        <v>0.52</v>
      </c>
      <c r="AH47">
        <v>2</v>
      </c>
      <c r="AI47">
        <v>34389002</v>
      </c>
      <c r="AJ47">
        <v>51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ht="12.75">
      <c r="A48">
        <f>ROW(Source!A161)</f>
        <v>161</v>
      </c>
      <c r="B48">
        <v>34389012</v>
      </c>
      <c r="C48">
        <v>34388995</v>
      </c>
      <c r="D48">
        <v>7231827</v>
      </c>
      <c r="E48">
        <v>1</v>
      </c>
      <c r="F48">
        <v>1</v>
      </c>
      <c r="G48">
        <v>7157832</v>
      </c>
      <c r="H48">
        <v>3</v>
      </c>
      <c r="I48" t="s">
        <v>430</v>
      </c>
      <c r="J48" t="s">
        <v>431</v>
      </c>
      <c r="K48" t="s">
        <v>432</v>
      </c>
      <c r="L48">
        <v>1339</v>
      </c>
      <c r="N48">
        <v>1007</v>
      </c>
      <c r="O48" t="s">
        <v>42</v>
      </c>
      <c r="P48" t="s">
        <v>42</v>
      </c>
      <c r="Q48">
        <v>1</v>
      </c>
      <c r="X48">
        <v>7</v>
      </c>
      <c r="Y48">
        <v>7.07</v>
      </c>
      <c r="Z48">
        <v>0</v>
      </c>
      <c r="AA48">
        <v>0</v>
      </c>
      <c r="AB48">
        <v>0</v>
      </c>
      <c r="AC48">
        <v>0</v>
      </c>
      <c r="AD48">
        <v>1</v>
      </c>
      <c r="AE48">
        <v>0</v>
      </c>
      <c r="AG48">
        <v>7</v>
      </c>
      <c r="AH48">
        <v>2</v>
      </c>
      <c r="AI48">
        <v>34389003</v>
      </c>
      <c r="AJ48">
        <v>52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ht="12.75">
      <c r="A49">
        <f>ROW(Source!A161)</f>
        <v>161</v>
      </c>
      <c r="B49">
        <v>34389013</v>
      </c>
      <c r="C49">
        <v>34388995</v>
      </c>
      <c r="D49">
        <v>7177346</v>
      </c>
      <c r="E49">
        <v>7157832</v>
      </c>
      <c r="F49">
        <v>1</v>
      </c>
      <c r="G49">
        <v>7157832</v>
      </c>
      <c r="H49">
        <v>3</v>
      </c>
      <c r="I49" t="s">
        <v>508</v>
      </c>
      <c r="K49" t="s">
        <v>509</v>
      </c>
      <c r="L49">
        <v>1339</v>
      </c>
      <c r="N49">
        <v>1007</v>
      </c>
      <c r="O49" t="s">
        <v>42</v>
      </c>
      <c r="P49" t="s">
        <v>42</v>
      </c>
      <c r="Q49">
        <v>1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G49">
        <v>0</v>
      </c>
      <c r="AH49">
        <v>3</v>
      </c>
      <c r="AI49">
        <v>-1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ht="12.75">
      <c r="A50">
        <f>ROW(Source!A163)</f>
        <v>163</v>
      </c>
      <c r="B50">
        <v>34389026</v>
      </c>
      <c r="C50">
        <v>34389015</v>
      </c>
      <c r="D50">
        <v>7157835</v>
      </c>
      <c r="E50">
        <v>7157832</v>
      </c>
      <c r="F50">
        <v>1</v>
      </c>
      <c r="G50">
        <v>7157832</v>
      </c>
      <c r="H50">
        <v>1</v>
      </c>
      <c r="I50" t="s">
        <v>399</v>
      </c>
      <c r="K50" t="s">
        <v>400</v>
      </c>
      <c r="L50">
        <v>1191</v>
      </c>
      <c r="N50">
        <v>1013</v>
      </c>
      <c r="O50" t="s">
        <v>401</v>
      </c>
      <c r="P50" t="s">
        <v>401</v>
      </c>
      <c r="Q50">
        <v>1</v>
      </c>
      <c r="X50">
        <v>4.29</v>
      </c>
      <c r="Y50">
        <v>0</v>
      </c>
      <c r="Z50">
        <v>0</v>
      </c>
      <c r="AA50">
        <v>0</v>
      </c>
      <c r="AB50">
        <v>0</v>
      </c>
      <c r="AC50">
        <v>0</v>
      </c>
      <c r="AD50">
        <v>1</v>
      </c>
      <c r="AE50">
        <v>1</v>
      </c>
      <c r="AG50">
        <v>4.29</v>
      </c>
      <c r="AH50">
        <v>2</v>
      </c>
      <c r="AI50">
        <v>34389016</v>
      </c>
      <c r="AJ50">
        <v>54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ht="12.75">
      <c r="A51">
        <f>ROW(Source!A163)</f>
        <v>163</v>
      </c>
      <c r="B51">
        <v>34389027</v>
      </c>
      <c r="C51">
        <v>34389015</v>
      </c>
      <c r="D51">
        <v>7231127</v>
      </c>
      <c r="E51">
        <v>1</v>
      </c>
      <c r="F51">
        <v>1</v>
      </c>
      <c r="G51">
        <v>7157832</v>
      </c>
      <c r="H51">
        <v>2</v>
      </c>
      <c r="I51" t="s">
        <v>442</v>
      </c>
      <c r="J51" t="s">
        <v>443</v>
      </c>
      <c r="K51" t="s">
        <v>444</v>
      </c>
      <c r="L51">
        <v>1368</v>
      </c>
      <c r="N51">
        <v>1011</v>
      </c>
      <c r="O51" t="s">
        <v>211</v>
      </c>
      <c r="P51" t="s">
        <v>211</v>
      </c>
      <c r="Q51">
        <v>1</v>
      </c>
      <c r="X51">
        <v>0.3</v>
      </c>
      <c r="Y51">
        <v>0</v>
      </c>
      <c r="Z51">
        <v>60.77</v>
      </c>
      <c r="AA51">
        <v>18.48</v>
      </c>
      <c r="AB51">
        <v>0</v>
      </c>
      <c r="AC51">
        <v>0</v>
      </c>
      <c r="AD51">
        <v>1</v>
      </c>
      <c r="AE51">
        <v>0</v>
      </c>
      <c r="AG51">
        <v>0.3</v>
      </c>
      <c r="AH51">
        <v>2</v>
      </c>
      <c r="AI51">
        <v>34389017</v>
      </c>
      <c r="AJ51">
        <v>55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ht="12.75">
      <c r="A52">
        <f>ROW(Source!A163)</f>
        <v>163</v>
      </c>
      <c r="B52">
        <v>34389028</v>
      </c>
      <c r="C52">
        <v>34389015</v>
      </c>
      <c r="D52">
        <v>7230893</v>
      </c>
      <c r="E52">
        <v>1</v>
      </c>
      <c r="F52">
        <v>1</v>
      </c>
      <c r="G52">
        <v>7157832</v>
      </c>
      <c r="H52">
        <v>2</v>
      </c>
      <c r="I52" t="s">
        <v>445</v>
      </c>
      <c r="J52" t="s">
        <v>446</v>
      </c>
      <c r="K52" t="s">
        <v>447</v>
      </c>
      <c r="L52">
        <v>1368</v>
      </c>
      <c r="N52">
        <v>1011</v>
      </c>
      <c r="O52" t="s">
        <v>211</v>
      </c>
      <c r="P52" t="s">
        <v>211</v>
      </c>
      <c r="Q52">
        <v>1</v>
      </c>
      <c r="X52">
        <v>0.3</v>
      </c>
      <c r="Y52">
        <v>0</v>
      </c>
      <c r="Z52">
        <v>106.74</v>
      </c>
      <c r="AA52">
        <v>19.2</v>
      </c>
      <c r="AB52">
        <v>0</v>
      </c>
      <c r="AC52">
        <v>0</v>
      </c>
      <c r="AD52">
        <v>1</v>
      </c>
      <c r="AE52">
        <v>0</v>
      </c>
      <c r="AG52">
        <v>0.3</v>
      </c>
      <c r="AH52">
        <v>2</v>
      </c>
      <c r="AI52">
        <v>34389018</v>
      </c>
      <c r="AJ52">
        <v>56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ht="12.75">
      <c r="A53">
        <f>ROW(Source!A163)</f>
        <v>163</v>
      </c>
      <c r="B53">
        <v>34389029</v>
      </c>
      <c r="C53">
        <v>34389015</v>
      </c>
      <c r="D53">
        <v>7230976</v>
      </c>
      <c r="E53">
        <v>1</v>
      </c>
      <c r="F53">
        <v>1</v>
      </c>
      <c r="G53">
        <v>7157832</v>
      </c>
      <c r="H53">
        <v>2</v>
      </c>
      <c r="I53" t="s">
        <v>448</v>
      </c>
      <c r="J53" t="s">
        <v>449</v>
      </c>
      <c r="K53" t="s">
        <v>450</v>
      </c>
      <c r="L53">
        <v>1368</v>
      </c>
      <c r="N53">
        <v>1011</v>
      </c>
      <c r="O53" t="s">
        <v>211</v>
      </c>
      <c r="P53" t="s">
        <v>211</v>
      </c>
      <c r="Q53">
        <v>1</v>
      </c>
      <c r="X53">
        <v>0.3</v>
      </c>
      <c r="Y53">
        <v>0</v>
      </c>
      <c r="Z53">
        <v>148.89</v>
      </c>
      <c r="AA53">
        <v>28.61</v>
      </c>
      <c r="AB53">
        <v>0</v>
      </c>
      <c r="AC53">
        <v>0</v>
      </c>
      <c r="AD53">
        <v>1</v>
      </c>
      <c r="AE53">
        <v>0</v>
      </c>
      <c r="AG53">
        <v>0.3</v>
      </c>
      <c r="AH53">
        <v>2</v>
      </c>
      <c r="AI53">
        <v>34389019</v>
      </c>
      <c r="AJ53">
        <v>57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ht="12.75">
      <c r="A54">
        <f>ROW(Source!A163)</f>
        <v>163</v>
      </c>
      <c r="B54">
        <v>34389030</v>
      </c>
      <c r="C54">
        <v>34389015</v>
      </c>
      <c r="D54">
        <v>7230978</v>
      </c>
      <c r="E54">
        <v>1</v>
      </c>
      <c r="F54">
        <v>1</v>
      </c>
      <c r="G54">
        <v>7157832</v>
      </c>
      <c r="H54">
        <v>2</v>
      </c>
      <c r="I54" t="s">
        <v>451</v>
      </c>
      <c r="J54" t="s">
        <v>452</v>
      </c>
      <c r="K54" t="s">
        <v>453</v>
      </c>
      <c r="L54">
        <v>1368</v>
      </c>
      <c r="N54">
        <v>1011</v>
      </c>
      <c r="O54" t="s">
        <v>211</v>
      </c>
      <c r="P54" t="s">
        <v>211</v>
      </c>
      <c r="Q54">
        <v>1</v>
      </c>
      <c r="X54">
        <v>0.3</v>
      </c>
      <c r="Y54">
        <v>0</v>
      </c>
      <c r="Z54">
        <v>249.15</v>
      </c>
      <c r="AA54">
        <v>42.85</v>
      </c>
      <c r="AB54">
        <v>0</v>
      </c>
      <c r="AC54">
        <v>0</v>
      </c>
      <c r="AD54">
        <v>1</v>
      </c>
      <c r="AE54">
        <v>0</v>
      </c>
      <c r="AG54">
        <v>0.3</v>
      </c>
      <c r="AH54">
        <v>2</v>
      </c>
      <c r="AI54">
        <v>34389020</v>
      </c>
      <c r="AJ54">
        <v>58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ht="12.75">
      <c r="A55">
        <f>ROW(Source!A163)</f>
        <v>163</v>
      </c>
      <c r="B55">
        <v>34389031</v>
      </c>
      <c r="C55">
        <v>34389015</v>
      </c>
      <c r="D55">
        <v>7230962</v>
      </c>
      <c r="E55">
        <v>1</v>
      </c>
      <c r="F55">
        <v>1</v>
      </c>
      <c r="G55">
        <v>7157832</v>
      </c>
      <c r="H55">
        <v>2</v>
      </c>
      <c r="I55" t="s">
        <v>436</v>
      </c>
      <c r="J55" t="s">
        <v>437</v>
      </c>
      <c r="K55" t="s">
        <v>438</v>
      </c>
      <c r="L55">
        <v>1368</v>
      </c>
      <c r="N55">
        <v>1011</v>
      </c>
      <c r="O55" t="s">
        <v>211</v>
      </c>
      <c r="P55" t="s">
        <v>211</v>
      </c>
      <c r="Q55">
        <v>1</v>
      </c>
      <c r="X55">
        <v>0.3</v>
      </c>
      <c r="Y55">
        <v>0</v>
      </c>
      <c r="Z55">
        <v>84.82</v>
      </c>
      <c r="AA55">
        <v>22.85</v>
      </c>
      <c r="AB55">
        <v>0</v>
      </c>
      <c r="AC55">
        <v>0</v>
      </c>
      <c r="AD55">
        <v>1</v>
      </c>
      <c r="AE55">
        <v>0</v>
      </c>
      <c r="AG55">
        <v>0.3</v>
      </c>
      <c r="AH55">
        <v>2</v>
      </c>
      <c r="AI55">
        <v>34389021</v>
      </c>
      <c r="AJ55">
        <v>59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ht="12.75">
      <c r="A56">
        <f>ROW(Source!A163)</f>
        <v>163</v>
      </c>
      <c r="B56">
        <v>34389032</v>
      </c>
      <c r="C56">
        <v>34389015</v>
      </c>
      <c r="D56">
        <v>7230993</v>
      </c>
      <c r="E56">
        <v>1</v>
      </c>
      <c r="F56">
        <v>1</v>
      </c>
      <c r="G56">
        <v>7157832</v>
      </c>
      <c r="H56">
        <v>2</v>
      </c>
      <c r="I56" t="s">
        <v>454</v>
      </c>
      <c r="J56" t="s">
        <v>455</v>
      </c>
      <c r="K56" t="s">
        <v>456</v>
      </c>
      <c r="L56">
        <v>1368</v>
      </c>
      <c r="N56">
        <v>1011</v>
      </c>
      <c r="O56" t="s">
        <v>211</v>
      </c>
      <c r="P56" t="s">
        <v>211</v>
      </c>
      <c r="Q56">
        <v>1</v>
      </c>
      <c r="X56">
        <v>0.3</v>
      </c>
      <c r="Y56">
        <v>0</v>
      </c>
      <c r="Z56">
        <v>124.6</v>
      </c>
      <c r="AA56">
        <v>28.4</v>
      </c>
      <c r="AB56">
        <v>0</v>
      </c>
      <c r="AC56">
        <v>0</v>
      </c>
      <c r="AD56">
        <v>1</v>
      </c>
      <c r="AE56">
        <v>0</v>
      </c>
      <c r="AG56">
        <v>0.3</v>
      </c>
      <c r="AH56">
        <v>2</v>
      </c>
      <c r="AI56">
        <v>34389022</v>
      </c>
      <c r="AJ56">
        <v>60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ht="12.75">
      <c r="A57">
        <f>ROW(Source!A163)</f>
        <v>163</v>
      </c>
      <c r="B57">
        <v>34389033</v>
      </c>
      <c r="C57">
        <v>34389015</v>
      </c>
      <c r="D57">
        <v>7230966</v>
      </c>
      <c r="E57">
        <v>1</v>
      </c>
      <c r="F57">
        <v>1</v>
      </c>
      <c r="G57">
        <v>7157832</v>
      </c>
      <c r="H57">
        <v>2</v>
      </c>
      <c r="I57" t="s">
        <v>457</v>
      </c>
      <c r="J57" t="s">
        <v>458</v>
      </c>
      <c r="K57" t="s">
        <v>459</v>
      </c>
      <c r="L57">
        <v>1368</v>
      </c>
      <c r="N57">
        <v>1011</v>
      </c>
      <c r="O57" t="s">
        <v>211</v>
      </c>
      <c r="P57" t="s">
        <v>211</v>
      </c>
      <c r="Q57">
        <v>1</v>
      </c>
      <c r="X57">
        <v>0.3</v>
      </c>
      <c r="Y57">
        <v>0</v>
      </c>
      <c r="Z57">
        <v>88.4</v>
      </c>
      <c r="AA57">
        <v>23.18</v>
      </c>
      <c r="AB57">
        <v>0</v>
      </c>
      <c r="AC57">
        <v>0</v>
      </c>
      <c r="AD57">
        <v>1</v>
      </c>
      <c r="AE57">
        <v>0</v>
      </c>
      <c r="AG57">
        <v>0.3</v>
      </c>
      <c r="AH57">
        <v>2</v>
      </c>
      <c r="AI57">
        <v>34389023</v>
      </c>
      <c r="AJ57">
        <v>61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ht="12.75">
      <c r="A58">
        <f>ROW(Source!A163)</f>
        <v>163</v>
      </c>
      <c r="B58">
        <v>34389034</v>
      </c>
      <c r="C58">
        <v>34389015</v>
      </c>
      <c r="D58">
        <v>7230967</v>
      </c>
      <c r="E58">
        <v>1</v>
      </c>
      <c r="F58">
        <v>1</v>
      </c>
      <c r="G58">
        <v>7157832</v>
      </c>
      <c r="H58">
        <v>2</v>
      </c>
      <c r="I58" t="s">
        <v>427</v>
      </c>
      <c r="J58" t="s">
        <v>428</v>
      </c>
      <c r="K58" t="s">
        <v>429</v>
      </c>
      <c r="L58">
        <v>1368</v>
      </c>
      <c r="N58">
        <v>1011</v>
      </c>
      <c r="O58" t="s">
        <v>211</v>
      </c>
      <c r="P58" t="s">
        <v>211</v>
      </c>
      <c r="Q58">
        <v>1</v>
      </c>
      <c r="X58">
        <v>0.9</v>
      </c>
      <c r="Y58">
        <v>0</v>
      </c>
      <c r="Z58">
        <v>178.02</v>
      </c>
      <c r="AA58">
        <v>23.5</v>
      </c>
      <c r="AB58">
        <v>0</v>
      </c>
      <c r="AC58">
        <v>0</v>
      </c>
      <c r="AD58">
        <v>1</v>
      </c>
      <c r="AE58">
        <v>0</v>
      </c>
      <c r="AG58">
        <v>0.9</v>
      </c>
      <c r="AH58">
        <v>2</v>
      </c>
      <c r="AI58">
        <v>34389024</v>
      </c>
      <c r="AJ58">
        <v>62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ht="12.75">
      <c r="A59">
        <f>ROW(Source!A163)</f>
        <v>163</v>
      </c>
      <c r="B59">
        <v>34389035</v>
      </c>
      <c r="C59">
        <v>34389015</v>
      </c>
      <c r="D59">
        <v>7235091</v>
      </c>
      <c r="E59">
        <v>1</v>
      </c>
      <c r="F59">
        <v>1</v>
      </c>
      <c r="G59">
        <v>7157832</v>
      </c>
      <c r="H59">
        <v>3</v>
      </c>
      <c r="I59" t="s">
        <v>460</v>
      </c>
      <c r="J59" t="s">
        <v>461</v>
      </c>
      <c r="K59" t="s">
        <v>462</v>
      </c>
      <c r="L59">
        <v>1348</v>
      </c>
      <c r="N59">
        <v>1009</v>
      </c>
      <c r="O59" t="s">
        <v>265</v>
      </c>
      <c r="P59" t="s">
        <v>265</v>
      </c>
      <c r="Q59">
        <v>1000</v>
      </c>
      <c r="X59">
        <v>0.04</v>
      </c>
      <c r="Y59">
        <v>1445.87</v>
      </c>
      <c r="Z59">
        <v>0</v>
      </c>
      <c r="AA59">
        <v>0</v>
      </c>
      <c r="AB59">
        <v>0</v>
      </c>
      <c r="AC59">
        <v>0</v>
      </c>
      <c r="AD59">
        <v>1</v>
      </c>
      <c r="AE59">
        <v>0</v>
      </c>
      <c r="AG59">
        <v>0.04</v>
      </c>
      <c r="AH59">
        <v>2</v>
      </c>
      <c r="AI59">
        <v>34389025</v>
      </c>
      <c r="AJ59">
        <v>63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ht="12.75">
      <c r="A60">
        <f>ROW(Source!A163)</f>
        <v>163</v>
      </c>
      <c r="B60">
        <v>34389036</v>
      </c>
      <c r="C60">
        <v>34389015</v>
      </c>
      <c r="D60">
        <v>7178138</v>
      </c>
      <c r="E60">
        <v>7157832</v>
      </c>
      <c r="F60">
        <v>1</v>
      </c>
      <c r="G60">
        <v>7157832</v>
      </c>
      <c r="H60">
        <v>3</v>
      </c>
      <c r="I60" t="s">
        <v>510</v>
      </c>
      <c r="K60" t="s">
        <v>511</v>
      </c>
      <c r="L60">
        <v>1348</v>
      </c>
      <c r="N60">
        <v>1009</v>
      </c>
      <c r="O60" t="s">
        <v>265</v>
      </c>
      <c r="P60" t="s">
        <v>265</v>
      </c>
      <c r="Q60">
        <v>1000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G60">
        <v>0</v>
      </c>
      <c r="AH60">
        <v>3</v>
      </c>
      <c r="AI60">
        <v>-1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ht="12.75">
      <c r="A61">
        <f>ROW(Source!A164)</f>
        <v>164</v>
      </c>
      <c r="B61">
        <v>34389041</v>
      </c>
      <c r="C61">
        <v>34389037</v>
      </c>
      <c r="D61">
        <v>7157835</v>
      </c>
      <c r="E61">
        <v>7157832</v>
      </c>
      <c r="F61">
        <v>1</v>
      </c>
      <c r="G61">
        <v>7157832</v>
      </c>
      <c r="H61">
        <v>1</v>
      </c>
      <c r="I61" t="s">
        <v>399</v>
      </c>
      <c r="K61" t="s">
        <v>400</v>
      </c>
      <c r="L61">
        <v>1191</v>
      </c>
      <c r="N61">
        <v>1013</v>
      </c>
      <c r="O61" t="s">
        <v>401</v>
      </c>
      <c r="P61" t="s">
        <v>401</v>
      </c>
      <c r="Q61">
        <v>1</v>
      </c>
      <c r="X61">
        <v>0.53</v>
      </c>
      <c r="Y61">
        <v>0</v>
      </c>
      <c r="Z61">
        <v>0</v>
      </c>
      <c r="AA61">
        <v>0</v>
      </c>
      <c r="AB61">
        <v>0</v>
      </c>
      <c r="AC61">
        <v>0</v>
      </c>
      <c r="AD61">
        <v>1</v>
      </c>
      <c r="AE61">
        <v>1</v>
      </c>
      <c r="AG61">
        <v>0.53</v>
      </c>
      <c r="AH61">
        <v>2</v>
      </c>
      <c r="AI61">
        <v>34389038</v>
      </c>
      <c r="AJ61">
        <v>64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 ht="12.75">
      <c r="A62">
        <f>ROW(Source!A164)</f>
        <v>164</v>
      </c>
      <c r="B62">
        <v>34389042</v>
      </c>
      <c r="C62">
        <v>34389037</v>
      </c>
      <c r="D62">
        <v>7230893</v>
      </c>
      <c r="E62">
        <v>1</v>
      </c>
      <c r="F62">
        <v>1</v>
      </c>
      <c r="G62">
        <v>7157832</v>
      </c>
      <c r="H62">
        <v>2</v>
      </c>
      <c r="I62" t="s">
        <v>445</v>
      </c>
      <c r="J62" t="s">
        <v>446</v>
      </c>
      <c r="K62" t="s">
        <v>447</v>
      </c>
      <c r="L62">
        <v>1368</v>
      </c>
      <c r="N62">
        <v>1011</v>
      </c>
      <c r="O62" t="s">
        <v>211</v>
      </c>
      <c r="P62" t="s">
        <v>211</v>
      </c>
      <c r="Q62">
        <v>1</v>
      </c>
      <c r="X62">
        <v>0.075</v>
      </c>
      <c r="Y62">
        <v>0</v>
      </c>
      <c r="Z62">
        <v>106.74</v>
      </c>
      <c r="AA62">
        <v>19.2</v>
      </c>
      <c r="AB62">
        <v>0</v>
      </c>
      <c r="AC62">
        <v>0</v>
      </c>
      <c r="AD62">
        <v>1</v>
      </c>
      <c r="AE62">
        <v>0</v>
      </c>
      <c r="AG62">
        <v>0.075</v>
      </c>
      <c r="AH62">
        <v>2</v>
      </c>
      <c r="AI62">
        <v>34389039</v>
      </c>
      <c r="AJ62">
        <v>65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 ht="12.75">
      <c r="A63">
        <f>ROW(Source!A164)</f>
        <v>164</v>
      </c>
      <c r="B63">
        <v>34389043</v>
      </c>
      <c r="C63">
        <v>34389037</v>
      </c>
      <c r="D63">
        <v>7230993</v>
      </c>
      <c r="E63">
        <v>1</v>
      </c>
      <c r="F63">
        <v>1</v>
      </c>
      <c r="G63">
        <v>7157832</v>
      </c>
      <c r="H63">
        <v>2</v>
      </c>
      <c r="I63" t="s">
        <v>454</v>
      </c>
      <c r="J63" t="s">
        <v>455</v>
      </c>
      <c r="K63" t="s">
        <v>456</v>
      </c>
      <c r="L63">
        <v>1368</v>
      </c>
      <c r="N63">
        <v>1011</v>
      </c>
      <c r="O63" t="s">
        <v>211</v>
      </c>
      <c r="P63" t="s">
        <v>211</v>
      </c>
      <c r="Q63">
        <v>1</v>
      </c>
      <c r="X63">
        <v>0.075</v>
      </c>
      <c r="Y63">
        <v>0</v>
      </c>
      <c r="Z63">
        <v>124.6</v>
      </c>
      <c r="AA63">
        <v>28.4</v>
      </c>
      <c r="AB63">
        <v>0</v>
      </c>
      <c r="AC63">
        <v>0</v>
      </c>
      <c r="AD63">
        <v>1</v>
      </c>
      <c r="AE63">
        <v>0</v>
      </c>
      <c r="AG63">
        <v>0.075</v>
      </c>
      <c r="AH63">
        <v>2</v>
      </c>
      <c r="AI63">
        <v>34389040</v>
      </c>
      <c r="AJ63">
        <v>66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ht="12.75">
      <c r="A64">
        <f>ROW(Source!A164)</f>
        <v>164</v>
      </c>
      <c r="B64">
        <v>34389044</v>
      </c>
      <c r="C64">
        <v>34389037</v>
      </c>
      <c r="D64">
        <v>7178138</v>
      </c>
      <c r="E64">
        <v>7157832</v>
      </c>
      <c r="F64">
        <v>1</v>
      </c>
      <c r="G64">
        <v>7157832</v>
      </c>
      <c r="H64">
        <v>3</v>
      </c>
      <c r="I64" t="s">
        <v>510</v>
      </c>
      <c r="K64" t="s">
        <v>511</v>
      </c>
      <c r="L64">
        <v>1348</v>
      </c>
      <c r="N64">
        <v>1009</v>
      </c>
      <c r="O64" t="s">
        <v>265</v>
      </c>
      <c r="P64" t="s">
        <v>265</v>
      </c>
      <c r="Q64">
        <v>1000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G64">
        <v>0</v>
      </c>
      <c r="AH64">
        <v>3</v>
      </c>
      <c r="AI64">
        <v>-1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 ht="12.75">
      <c r="A65">
        <f>ROW(Source!A166)</f>
        <v>166</v>
      </c>
      <c r="B65">
        <v>34389057</v>
      </c>
      <c r="C65">
        <v>34389046</v>
      </c>
      <c r="D65">
        <v>7157835</v>
      </c>
      <c r="E65">
        <v>7157832</v>
      </c>
      <c r="F65">
        <v>1</v>
      </c>
      <c r="G65">
        <v>7157832</v>
      </c>
      <c r="H65">
        <v>1</v>
      </c>
      <c r="I65" t="s">
        <v>399</v>
      </c>
      <c r="K65" t="s">
        <v>400</v>
      </c>
      <c r="L65">
        <v>1191</v>
      </c>
      <c r="N65">
        <v>1013</v>
      </c>
      <c r="O65" t="s">
        <v>401</v>
      </c>
      <c r="P65" t="s">
        <v>401</v>
      </c>
      <c r="Q65">
        <v>1</v>
      </c>
      <c r="X65">
        <v>4.29</v>
      </c>
      <c r="Y65">
        <v>0</v>
      </c>
      <c r="Z65">
        <v>0</v>
      </c>
      <c r="AA65">
        <v>0</v>
      </c>
      <c r="AB65">
        <v>0</v>
      </c>
      <c r="AC65">
        <v>0</v>
      </c>
      <c r="AD65">
        <v>1</v>
      </c>
      <c r="AE65">
        <v>1</v>
      </c>
      <c r="AG65">
        <v>4.29</v>
      </c>
      <c r="AH65">
        <v>2</v>
      </c>
      <c r="AI65">
        <v>34389047</v>
      </c>
      <c r="AJ65">
        <v>67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ht="12.75">
      <c r="A66">
        <f>ROW(Source!A166)</f>
        <v>166</v>
      </c>
      <c r="B66">
        <v>34389058</v>
      </c>
      <c r="C66">
        <v>34389046</v>
      </c>
      <c r="D66">
        <v>7231127</v>
      </c>
      <c r="E66">
        <v>1</v>
      </c>
      <c r="F66">
        <v>1</v>
      </c>
      <c r="G66">
        <v>7157832</v>
      </c>
      <c r="H66">
        <v>2</v>
      </c>
      <c r="I66" t="s">
        <v>442</v>
      </c>
      <c r="J66" t="s">
        <v>443</v>
      </c>
      <c r="K66" t="s">
        <v>444</v>
      </c>
      <c r="L66">
        <v>1368</v>
      </c>
      <c r="N66">
        <v>1011</v>
      </c>
      <c r="O66" t="s">
        <v>211</v>
      </c>
      <c r="P66" t="s">
        <v>211</v>
      </c>
      <c r="Q66">
        <v>1</v>
      </c>
      <c r="X66">
        <v>0.3</v>
      </c>
      <c r="Y66">
        <v>0</v>
      </c>
      <c r="Z66">
        <v>60.77</v>
      </c>
      <c r="AA66">
        <v>18.48</v>
      </c>
      <c r="AB66">
        <v>0</v>
      </c>
      <c r="AC66">
        <v>0</v>
      </c>
      <c r="AD66">
        <v>1</v>
      </c>
      <c r="AE66">
        <v>0</v>
      </c>
      <c r="AG66">
        <v>0.3</v>
      </c>
      <c r="AH66">
        <v>2</v>
      </c>
      <c r="AI66">
        <v>34389048</v>
      </c>
      <c r="AJ66">
        <v>68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 ht="12.75">
      <c r="A67">
        <f>ROW(Source!A166)</f>
        <v>166</v>
      </c>
      <c r="B67">
        <v>34389059</v>
      </c>
      <c r="C67">
        <v>34389046</v>
      </c>
      <c r="D67">
        <v>7230893</v>
      </c>
      <c r="E67">
        <v>1</v>
      </c>
      <c r="F67">
        <v>1</v>
      </c>
      <c r="G67">
        <v>7157832</v>
      </c>
      <c r="H67">
        <v>2</v>
      </c>
      <c r="I67" t="s">
        <v>445</v>
      </c>
      <c r="J67" t="s">
        <v>446</v>
      </c>
      <c r="K67" t="s">
        <v>447</v>
      </c>
      <c r="L67">
        <v>1368</v>
      </c>
      <c r="N67">
        <v>1011</v>
      </c>
      <c r="O67" t="s">
        <v>211</v>
      </c>
      <c r="P67" t="s">
        <v>211</v>
      </c>
      <c r="Q67">
        <v>1</v>
      </c>
      <c r="X67">
        <v>0.3</v>
      </c>
      <c r="Y67">
        <v>0</v>
      </c>
      <c r="Z67">
        <v>106.74</v>
      </c>
      <c r="AA67">
        <v>19.2</v>
      </c>
      <c r="AB67">
        <v>0</v>
      </c>
      <c r="AC67">
        <v>0</v>
      </c>
      <c r="AD67">
        <v>1</v>
      </c>
      <c r="AE67">
        <v>0</v>
      </c>
      <c r="AG67">
        <v>0.3</v>
      </c>
      <c r="AH67">
        <v>2</v>
      </c>
      <c r="AI67">
        <v>34389049</v>
      </c>
      <c r="AJ67">
        <v>69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ht="12.75">
      <c r="A68">
        <f>ROW(Source!A166)</f>
        <v>166</v>
      </c>
      <c r="B68">
        <v>34389060</v>
      </c>
      <c r="C68">
        <v>34389046</v>
      </c>
      <c r="D68">
        <v>7230976</v>
      </c>
      <c r="E68">
        <v>1</v>
      </c>
      <c r="F68">
        <v>1</v>
      </c>
      <c r="G68">
        <v>7157832</v>
      </c>
      <c r="H68">
        <v>2</v>
      </c>
      <c r="I68" t="s">
        <v>448</v>
      </c>
      <c r="J68" t="s">
        <v>449</v>
      </c>
      <c r="K68" t="s">
        <v>450</v>
      </c>
      <c r="L68">
        <v>1368</v>
      </c>
      <c r="N68">
        <v>1011</v>
      </c>
      <c r="O68" t="s">
        <v>211</v>
      </c>
      <c r="P68" t="s">
        <v>211</v>
      </c>
      <c r="Q68">
        <v>1</v>
      </c>
      <c r="X68">
        <v>0.3</v>
      </c>
      <c r="Y68">
        <v>0</v>
      </c>
      <c r="Z68">
        <v>148.89</v>
      </c>
      <c r="AA68">
        <v>28.61</v>
      </c>
      <c r="AB68">
        <v>0</v>
      </c>
      <c r="AC68">
        <v>0</v>
      </c>
      <c r="AD68">
        <v>1</v>
      </c>
      <c r="AE68">
        <v>0</v>
      </c>
      <c r="AG68">
        <v>0.3</v>
      </c>
      <c r="AH68">
        <v>2</v>
      </c>
      <c r="AI68">
        <v>34389050</v>
      </c>
      <c r="AJ68">
        <v>70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ht="12.75">
      <c r="A69">
        <f>ROW(Source!A166)</f>
        <v>166</v>
      </c>
      <c r="B69">
        <v>34389061</v>
      </c>
      <c r="C69">
        <v>34389046</v>
      </c>
      <c r="D69">
        <v>7230978</v>
      </c>
      <c r="E69">
        <v>1</v>
      </c>
      <c r="F69">
        <v>1</v>
      </c>
      <c r="G69">
        <v>7157832</v>
      </c>
      <c r="H69">
        <v>2</v>
      </c>
      <c r="I69" t="s">
        <v>451</v>
      </c>
      <c r="J69" t="s">
        <v>452</v>
      </c>
      <c r="K69" t="s">
        <v>453</v>
      </c>
      <c r="L69">
        <v>1368</v>
      </c>
      <c r="N69">
        <v>1011</v>
      </c>
      <c r="O69" t="s">
        <v>211</v>
      </c>
      <c r="P69" t="s">
        <v>211</v>
      </c>
      <c r="Q69">
        <v>1</v>
      </c>
      <c r="X69">
        <v>0.3</v>
      </c>
      <c r="Y69">
        <v>0</v>
      </c>
      <c r="Z69">
        <v>249.15</v>
      </c>
      <c r="AA69">
        <v>42.85</v>
      </c>
      <c r="AB69">
        <v>0</v>
      </c>
      <c r="AC69">
        <v>0</v>
      </c>
      <c r="AD69">
        <v>1</v>
      </c>
      <c r="AE69">
        <v>0</v>
      </c>
      <c r="AG69">
        <v>0.3</v>
      </c>
      <c r="AH69">
        <v>2</v>
      </c>
      <c r="AI69">
        <v>34389051</v>
      </c>
      <c r="AJ69">
        <v>71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 ht="12.75">
      <c r="A70">
        <f>ROW(Source!A166)</f>
        <v>166</v>
      </c>
      <c r="B70">
        <v>34389062</v>
      </c>
      <c r="C70">
        <v>34389046</v>
      </c>
      <c r="D70">
        <v>7230962</v>
      </c>
      <c r="E70">
        <v>1</v>
      </c>
      <c r="F70">
        <v>1</v>
      </c>
      <c r="G70">
        <v>7157832</v>
      </c>
      <c r="H70">
        <v>2</v>
      </c>
      <c r="I70" t="s">
        <v>436</v>
      </c>
      <c r="J70" t="s">
        <v>437</v>
      </c>
      <c r="K70" t="s">
        <v>438</v>
      </c>
      <c r="L70">
        <v>1368</v>
      </c>
      <c r="N70">
        <v>1011</v>
      </c>
      <c r="O70" t="s">
        <v>211</v>
      </c>
      <c r="P70" t="s">
        <v>211</v>
      </c>
      <c r="Q70">
        <v>1</v>
      </c>
      <c r="X70">
        <v>0.3</v>
      </c>
      <c r="Y70">
        <v>0</v>
      </c>
      <c r="Z70">
        <v>84.82</v>
      </c>
      <c r="AA70">
        <v>22.85</v>
      </c>
      <c r="AB70">
        <v>0</v>
      </c>
      <c r="AC70">
        <v>0</v>
      </c>
      <c r="AD70">
        <v>1</v>
      </c>
      <c r="AE70">
        <v>0</v>
      </c>
      <c r="AG70">
        <v>0.3</v>
      </c>
      <c r="AH70">
        <v>2</v>
      </c>
      <c r="AI70">
        <v>34389052</v>
      </c>
      <c r="AJ70">
        <v>72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 ht="12.75">
      <c r="A71">
        <f>ROW(Source!A166)</f>
        <v>166</v>
      </c>
      <c r="B71">
        <v>34389063</v>
      </c>
      <c r="C71">
        <v>34389046</v>
      </c>
      <c r="D71">
        <v>7230993</v>
      </c>
      <c r="E71">
        <v>1</v>
      </c>
      <c r="F71">
        <v>1</v>
      </c>
      <c r="G71">
        <v>7157832</v>
      </c>
      <c r="H71">
        <v>2</v>
      </c>
      <c r="I71" t="s">
        <v>454</v>
      </c>
      <c r="J71" t="s">
        <v>455</v>
      </c>
      <c r="K71" t="s">
        <v>456</v>
      </c>
      <c r="L71">
        <v>1368</v>
      </c>
      <c r="N71">
        <v>1011</v>
      </c>
      <c r="O71" t="s">
        <v>211</v>
      </c>
      <c r="P71" t="s">
        <v>211</v>
      </c>
      <c r="Q71">
        <v>1</v>
      </c>
      <c r="X71">
        <v>0.3</v>
      </c>
      <c r="Y71">
        <v>0</v>
      </c>
      <c r="Z71">
        <v>124.6</v>
      </c>
      <c r="AA71">
        <v>28.4</v>
      </c>
      <c r="AB71">
        <v>0</v>
      </c>
      <c r="AC71">
        <v>0</v>
      </c>
      <c r="AD71">
        <v>1</v>
      </c>
      <c r="AE71">
        <v>0</v>
      </c>
      <c r="AG71">
        <v>0.3</v>
      </c>
      <c r="AH71">
        <v>2</v>
      </c>
      <c r="AI71">
        <v>34389053</v>
      </c>
      <c r="AJ71">
        <v>73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ht="12.75">
      <c r="A72">
        <f>ROW(Source!A166)</f>
        <v>166</v>
      </c>
      <c r="B72">
        <v>34389064</v>
      </c>
      <c r="C72">
        <v>34389046</v>
      </c>
      <c r="D72">
        <v>7230966</v>
      </c>
      <c r="E72">
        <v>1</v>
      </c>
      <c r="F72">
        <v>1</v>
      </c>
      <c r="G72">
        <v>7157832</v>
      </c>
      <c r="H72">
        <v>2</v>
      </c>
      <c r="I72" t="s">
        <v>457</v>
      </c>
      <c r="J72" t="s">
        <v>458</v>
      </c>
      <c r="K72" t="s">
        <v>459</v>
      </c>
      <c r="L72">
        <v>1368</v>
      </c>
      <c r="N72">
        <v>1011</v>
      </c>
      <c r="O72" t="s">
        <v>211</v>
      </c>
      <c r="P72" t="s">
        <v>211</v>
      </c>
      <c r="Q72">
        <v>1</v>
      </c>
      <c r="X72">
        <v>0.3</v>
      </c>
      <c r="Y72">
        <v>0</v>
      </c>
      <c r="Z72">
        <v>88.4</v>
      </c>
      <c r="AA72">
        <v>23.18</v>
      </c>
      <c r="AB72">
        <v>0</v>
      </c>
      <c r="AC72">
        <v>0</v>
      </c>
      <c r="AD72">
        <v>1</v>
      </c>
      <c r="AE72">
        <v>0</v>
      </c>
      <c r="AG72">
        <v>0.3</v>
      </c>
      <c r="AH72">
        <v>2</v>
      </c>
      <c r="AI72">
        <v>34389054</v>
      </c>
      <c r="AJ72">
        <v>74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ht="12.75">
      <c r="A73">
        <f>ROW(Source!A166)</f>
        <v>166</v>
      </c>
      <c r="B73">
        <v>34389065</v>
      </c>
      <c r="C73">
        <v>34389046</v>
      </c>
      <c r="D73">
        <v>7230967</v>
      </c>
      <c r="E73">
        <v>1</v>
      </c>
      <c r="F73">
        <v>1</v>
      </c>
      <c r="G73">
        <v>7157832</v>
      </c>
      <c r="H73">
        <v>2</v>
      </c>
      <c r="I73" t="s">
        <v>427</v>
      </c>
      <c r="J73" t="s">
        <v>428</v>
      </c>
      <c r="K73" t="s">
        <v>429</v>
      </c>
      <c r="L73">
        <v>1368</v>
      </c>
      <c r="N73">
        <v>1011</v>
      </c>
      <c r="O73" t="s">
        <v>211</v>
      </c>
      <c r="P73" t="s">
        <v>211</v>
      </c>
      <c r="Q73">
        <v>1</v>
      </c>
      <c r="X73">
        <v>0.9</v>
      </c>
      <c r="Y73">
        <v>0</v>
      </c>
      <c r="Z73">
        <v>178.02</v>
      </c>
      <c r="AA73">
        <v>23.5</v>
      </c>
      <c r="AB73">
        <v>0</v>
      </c>
      <c r="AC73">
        <v>0</v>
      </c>
      <c r="AD73">
        <v>1</v>
      </c>
      <c r="AE73">
        <v>0</v>
      </c>
      <c r="AG73">
        <v>0.9</v>
      </c>
      <c r="AH73">
        <v>2</v>
      </c>
      <c r="AI73">
        <v>34389055</v>
      </c>
      <c r="AJ73">
        <v>75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ht="12.75">
      <c r="A74">
        <f>ROW(Source!A166)</f>
        <v>166</v>
      </c>
      <c r="B74">
        <v>34389066</v>
      </c>
      <c r="C74">
        <v>34389046</v>
      </c>
      <c r="D74">
        <v>7235091</v>
      </c>
      <c r="E74">
        <v>1</v>
      </c>
      <c r="F74">
        <v>1</v>
      </c>
      <c r="G74">
        <v>7157832</v>
      </c>
      <c r="H74">
        <v>3</v>
      </c>
      <c r="I74" t="s">
        <v>460</v>
      </c>
      <c r="J74" t="s">
        <v>461</v>
      </c>
      <c r="K74" t="s">
        <v>462</v>
      </c>
      <c r="L74">
        <v>1348</v>
      </c>
      <c r="N74">
        <v>1009</v>
      </c>
      <c r="O74" t="s">
        <v>265</v>
      </c>
      <c r="P74" t="s">
        <v>265</v>
      </c>
      <c r="Q74">
        <v>1000</v>
      </c>
      <c r="X74">
        <v>0.04</v>
      </c>
      <c r="Y74">
        <v>1445.87</v>
      </c>
      <c r="Z74">
        <v>0</v>
      </c>
      <c r="AA74">
        <v>0</v>
      </c>
      <c r="AB74">
        <v>0</v>
      </c>
      <c r="AC74">
        <v>0</v>
      </c>
      <c r="AD74">
        <v>1</v>
      </c>
      <c r="AE74">
        <v>0</v>
      </c>
      <c r="AG74">
        <v>0.04</v>
      </c>
      <c r="AH74">
        <v>2</v>
      </c>
      <c r="AI74">
        <v>34389056</v>
      </c>
      <c r="AJ74">
        <v>76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ht="12.75">
      <c r="A75">
        <f>ROW(Source!A166)</f>
        <v>166</v>
      </c>
      <c r="B75">
        <v>34389067</v>
      </c>
      <c r="C75">
        <v>34389046</v>
      </c>
      <c r="D75">
        <v>7178138</v>
      </c>
      <c r="E75">
        <v>7157832</v>
      </c>
      <c r="F75">
        <v>1</v>
      </c>
      <c r="G75">
        <v>7157832</v>
      </c>
      <c r="H75">
        <v>3</v>
      </c>
      <c r="I75" t="s">
        <v>510</v>
      </c>
      <c r="K75" t="s">
        <v>511</v>
      </c>
      <c r="L75">
        <v>1348</v>
      </c>
      <c r="N75">
        <v>1009</v>
      </c>
      <c r="O75" t="s">
        <v>265</v>
      </c>
      <c r="P75" t="s">
        <v>265</v>
      </c>
      <c r="Q75">
        <v>1000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G75">
        <v>0</v>
      </c>
      <c r="AH75">
        <v>3</v>
      </c>
      <c r="AI75">
        <v>-1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ht="12.75">
      <c r="A76">
        <f>ROW(Source!A199)</f>
        <v>199</v>
      </c>
      <c r="B76">
        <v>34389078</v>
      </c>
      <c r="C76">
        <v>34389069</v>
      </c>
      <c r="D76">
        <v>7157835</v>
      </c>
      <c r="E76">
        <v>7157832</v>
      </c>
      <c r="F76">
        <v>1</v>
      </c>
      <c r="G76">
        <v>7157832</v>
      </c>
      <c r="H76">
        <v>1</v>
      </c>
      <c r="I76" t="s">
        <v>399</v>
      </c>
      <c r="K76" t="s">
        <v>400</v>
      </c>
      <c r="L76">
        <v>1191</v>
      </c>
      <c r="N76">
        <v>1013</v>
      </c>
      <c r="O76" t="s">
        <v>401</v>
      </c>
      <c r="P76" t="s">
        <v>401</v>
      </c>
      <c r="Q76">
        <v>1</v>
      </c>
      <c r="X76">
        <v>14.4</v>
      </c>
      <c r="Y76">
        <v>0</v>
      </c>
      <c r="Z76">
        <v>0</v>
      </c>
      <c r="AA76">
        <v>0</v>
      </c>
      <c r="AB76">
        <v>0</v>
      </c>
      <c r="AC76">
        <v>0</v>
      </c>
      <c r="AD76">
        <v>1</v>
      </c>
      <c r="AE76">
        <v>1</v>
      </c>
      <c r="AG76">
        <v>14.4</v>
      </c>
      <c r="AH76">
        <v>2</v>
      </c>
      <c r="AI76">
        <v>34389070</v>
      </c>
      <c r="AJ76">
        <v>77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ht="12.75">
      <c r="A77">
        <f>ROW(Source!A199)</f>
        <v>199</v>
      </c>
      <c r="B77">
        <v>34389079</v>
      </c>
      <c r="C77">
        <v>34389069</v>
      </c>
      <c r="D77">
        <v>7230769</v>
      </c>
      <c r="E77">
        <v>1</v>
      </c>
      <c r="F77">
        <v>1</v>
      </c>
      <c r="G77">
        <v>7157832</v>
      </c>
      <c r="H77">
        <v>2</v>
      </c>
      <c r="I77" t="s">
        <v>415</v>
      </c>
      <c r="J77" t="s">
        <v>416</v>
      </c>
      <c r="K77" t="s">
        <v>417</v>
      </c>
      <c r="L77">
        <v>1368</v>
      </c>
      <c r="N77">
        <v>1011</v>
      </c>
      <c r="O77" t="s">
        <v>211</v>
      </c>
      <c r="P77" t="s">
        <v>211</v>
      </c>
      <c r="Q77">
        <v>1</v>
      </c>
      <c r="X77">
        <v>1.66</v>
      </c>
      <c r="Y77">
        <v>0</v>
      </c>
      <c r="Z77">
        <v>116.89</v>
      </c>
      <c r="AA77">
        <v>23.41</v>
      </c>
      <c r="AB77">
        <v>0</v>
      </c>
      <c r="AC77">
        <v>0</v>
      </c>
      <c r="AD77">
        <v>1</v>
      </c>
      <c r="AE77">
        <v>0</v>
      </c>
      <c r="AG77">
        <v>1.66</v>
      </c>
      <c r="AH77">
        <v>2</v>
      </c>
      <c r="AI77">
        <v>34389071</v>
      </c>
      <c r="AJ77">
        <v>78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ht="12.75">
      <c r="A78">
        <f>ROW(Source!A199)</f>
        <v>199</v>
      </c>
      <c r="B78">
        <v>34389080</v>
      </c>
      <c r="C78">
        <v>34389069</v>
      </c>
      <c r="D78">
        <v>7230974</v>
      </c>
      <c r="E78">
        <v>1</v>
      </c>
      <c r="F78">
        <v>1</v>
      </c>
      <c r="G78">
        <v>7157832</v>
      </c>
      <c r="H78">
        <v>2</v>
      </c>
      <c r="I78" t="s">
        <v>418</v>
      </c>
      <c r="J78" t="s">
        <v>419</v>
      </c>
      <c r="K78" t="s">
        <v>420</v>
      </c>
      <c r="L78">
        <v>1368</v>
      </c>
      <c r="N78">
        <v>1011</v>
      </c>
      <c r="O78" t="s">
        <v>211</v>
      </c>
      <c r="P78" t="s">
        <v>211</v>
      </c>
      <c r="Q78">
        <v>1</v>
      </c>
      <c r="X78">
        <v>1.66</v>
      </c>
      <c r="Y78">
        <v>0</v>
      </c>
      <c r="Z78">
        <v>62.97</v>
      </c>
      <c r="AA78">
        <v>6.64</v>
      </c>
      <c r="AB78">
        <v>0</v>
      </c>
      <c r="AC78">
        <v>0</v>
      </c>
      <c r="AD78">
        <v>1</v>
      </c>
      <c r="AE78">
        <v>0</v>
      </c>
      <c r="AG78">
        <v>1.66</v>
      </c>
      <c r="AH78">
        <v>2</v>
      </c>
      <c r="AI78">
        <v>34389072</v>
      </c>
      <c r="AJ78">
        <v>79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ht="12.75">
      <c r="A79">
        <f>ROW(Source!A199)</f>
        <v>199</v>
      </c>
      <c r="B79">
        <v>34389081</v>
      </c>
      <c r="C79">
        <v>34389069</v>
      </c>
      <c r="D79">
        <v>7230977</v>
      </c>
      <c r="E79">
        <v>1</v>
      </c>
      <c r="F79">
        <v>1</v>
      </c>
      <c r="G79">
        <v>7157832</v>
      </c>
      <c r="H79">
        <v>2</v>
      </c>
      <c r="I79" t="s">
        <v>421</v>
      </c>
      <c r="J79" t="s">
        <v>422</v>
      </c>
      <c r="K79" t="s">
        <v>423</v>
      </c>
      <c r="L79">
        <v>1368</v>
      </c>
      <c r="N79">
        <v>1011</v>
      </c>
      <c r="O79" t="s">
        <v>211</v>
      </c>
      <c r="P79" t="s">
        <v>211</v>
      </c>
      <c r="Q79">
        <v>1</v>
      </c>
      <c r="X79">
        <v>0.65</v>
      </c>
      <c r="Y79">
        <v>0</v>
      </c>
      <c r="Z79">
        <v>140.58</v>
      </c>
      <c r="AA79">
        <v>28.61</v>
      </c>
      <c r="AB79">
        <v>0</v>
      </c>
      <c r="AC79">
        <v>0</v>
      </c>
      <c r="AD79">
        <v>1</v>
      </c>
      <c r="AE79">
        <v>0</v>
      </c>
      <c r="AG79">
        <v>0.65</v>
      </c>
      <c r="AH79">
        <v>2</v>
      </c>
      <c r="AI79">
        <v>34389073</v>
      </c>
      <c r="AJ79">
        <v>80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ht="12.75">
      <c r="A80">
        <f>ROW(Source!A199)</f>
        <v>199</v>
      </c>
      <c r="B80">
        <v>34389082</v>
      </c>
      <c r="C80">
        <v>34389069</v>
      </c>
      <c r="D80">
        <v>7231005</v>
      </c>
      <c r="E80">
        <v>1</v>
      </c>
      <c r="F80">
        <v>1</v>
      </c>
      <c r="G80">
        <v>7157832</v>
      </c>
      <c r="H80">
        <v>2</v>
      </c>
      <c r="I80" t="s">
        <v>424</v>
      </c>
      <c r="J80" t="s">
        <v>425</v>
      </c>
      <c r="K80" t="s">
        <v>426</v>
      </c>
      <c r="L80">
        <v>1368</v>
      </c>
      <c r="N80">
        <v>1011</v>
      </c>
      <c r="O80" t="s">
        <v>211</v>
      </c>
      <c r="P80" t="s">
        <v>211</v>
      </c>
      <c r="Q80">
        <v>1</v>
      </c>
      <c r="X80">
        <v>1.55</v>
      </c>
      <c r="Y80">
        <v>0</v>
      </c>
      <c r="Z80">
        <v>125.13</v>
      </c>
      <c r="AA80">
        <v>24.74</v>
      </c>
      <c r="AB80">
        <v>0</v>
      </c>
      <c r="AC80">
        <v>0</v>
      </c>
      <c r="AD80">
        <v>1</v>
      </c>
      <c r="AE80">
        <v>0</v>
      </c>
      <c r="AG80">
        <v>1.55</v>
      </c>
      <c r="AH80">
        <v>2</v>
      </c>
      <c r="AI80">
        <v>34389074</v>
      </c>
      <c r="AJ80">
        <v>81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ht="12.75">
      <c r="A81">
        <f>ROW(Source!A199)</f>
        <v>199</v>
      </c>
      <c r="B81">
        <v>34389083</v>
      </c>
      <c r="C81">
        <v>34389069</v>
      </c>
      <c r="D81">
        <v>7230967</v>
      </c>
      <c r="E81">
        <v>1</v>
      </c>
      <c r="F81">
        <v>1</v>
      </c>
      <c r="G81">
        <v>7157832</v>
      </c>
      <c r="H81">
        <v>2</v>
      </c>
      <c r="I81" t="s">
        <v>427</v>
      </c>
      <c r="J81" t="s">
        <v>428</v>
      </c>
      <c r="K81" t="s">
        <v>429</v>
      </c>
      <c r="L81">
        <v>1368</v>
      </c>
      <c r="N81">
        <v>1011</v>
      </c>
      <c r="O81" t="s">
        <v>211</v>
      </c>
      <c r="P81" t="s">
        <v>211</v>
      </c>
      <c r="Q81">
        <v>1</v>
      </c>
      <c r="X81">
        <v>0.52</v>
      </c>
      <c r="Y81">
        <v>0</v>
      </c>
      <c r="Z81">
        <v>178.02</v>
      </c>
      <c r="AA81">
        <v>23.5</v>
      </c>
      <c r="AB81">
        <v>0</v>
      </c>
      <c r="AC81">
        <v>0</v>
      </c>
      <c r="AD81">
        <v>1</v>
      </c>
      <c r="AE81">
        <v>0</v>
      </c>
      <c r="AG81">
        <v>0.52</v>
      </c>
      <c r="AH81">
        <v>2</v>
      </c>
      <c r="AI81">
        <v>34389075</v>
      </c>
      <c r="AJ81">
        <v>82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ht="12.75">
      <c r="A82">
        <f>ROW(Source!A199)</f>
        <v>199</v>
      </c>
      <c r="B82">
        <v>34389084</v>
      </c>
      <c r="C82">
        <v>34389069</v>
      </c>
      <c r="D82">
        <v>7231827</v>
      </c>
      <c r="E82">
        <v>1</v>
      </c>
      <c r="F82">
        <v>1</v>
      </c>
      <c r="G82">
        <v>7157832</v>
      </c>
      <c r="H82">
        <v>3</v>
      </c>
      <c r="I82" t="s">
        <v>430</v>
      </c>
      <c r="J82" t="s">
        <v>431</v>
      </c>
      <c r="K82" t="s">
        <v>432</v>
      </c>
      <c r="L82">
        <v>1339</v>
      </c>
      <c r="N82">
        <v>1007</v>
      </c>
      <c r="O82" t="s">
        <v>42</v>
      </c>
      <c r="P82" t="s">
        <v>42</v>
      </c>
      <c r="Q82">
        <v>1</v>
      </c>
      <c r="X82">
        <v>5</v>
      </c>
      <c r="Y82">
        <v>7.07</v>
      </c>
      <c r="Z82">
        <v>0</v>
      </c>
      <c r="AA82">
        <v>0</v>
      </c>
      <c r="AB82">
        <v>0</v>
      </c>
      <c r="AC82">
        <v>0</v>
      </c>
      <c r="AD82">
        <v>1</v>
      </c>
      <c r="AE82">
        <v>0</v>
      </c>
      <c r="AG82">
        <v>5</v>
      </c>
      <c r="AH82">
        <v>2</v>
      </c>
      <c r="AI82">
        <v>34389076</v>
      </c>
      <c r="AJ82">
        <v>83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ht="12.75">
      <c r="A83">
        <f>ROW(Source!A199)</f>
        <v>199</v>
      </c>
      <c r="B83">
        <v>34389085</v>
      </c>
      <c r="C83">
        <v>34389069</v>
      </c>
      <c r="D83">
        <v>7177504</v>
      </c>
      <c r="E83">
        <v>7157832</v>
      </c>
      <c r="F83">
        <v>1</v>
      </c>
      <c r="G83">
        <v>7157832</v>
      </c>
      <c r="H83">
        <v>3</v>
      </c>
      <c r="I83" t="s">
        <v>501</v>
      </c>
      <c r="K83" t="s">
        <v>507</v>
      </c>
      <c r="L83">
        <v>1339</v>
      </c>
      <c r="N83">
        <v>1007</v>
      </c>
      <c r="O83" t="s">
        <v>42</v>
      </c>
      <c r="P83" t="s">
        <v>42</v>
      </c>
      <c r="Q83">
        <v>1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G83">
        <v>0</v>
      </c>
      <c r="AH83">
        <v>3</v>
      </c>
      <c r="AI83">
        <v>-1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</row>
    <row r="84" spans="1:44" ht="12.75">
      <c r="A84">
        <f>ROW(Source!A201)</f>
        <v>201</v>
      </c>
      <c r="B84">
        <v>34389097</v>
      </c>
      <c r="C84">
        <v>34389087</v>
      </c>
      <c r="D84">
        <v>7157835</v>
      </c>
      <c r="E84">
        <v>7157832</v>
      </c>
      <c r="F84">
        <v>1</v>
      </c>
      <c r="G84">
        <v>7157832</v>
      </c>
      <c r="H84">
        <v>1</v>
      </c>
      <c r="I84" t="s">
        <v>399</v>
      </c>
      <c r="K84" t="s">
        <v>400</v>
      </c>
      <c r="L84">
        <v>1191</v>
      </c>
      <c r="N84">
        <v>1013</v>
      </c>
      <c r="O84" t="s">
        <v>401</v>
      </c>
      <c r="P84" t="s">
        <v>401</v>
      </c>
      <c r="Q84">
        <v>1</v>
      </c>
      <c r="X84">
        <v>267</v>
      </c>
      <c r="Y84">
        <v>0</v>
      </c>
      <c r="Z84">
        <v>0</v>
      </c>
      <c r="AA84">
        <v>0</v>
      </c>
      <c r="AB84">
        <v>0</v>
      </c>
      <c r="AC84">
        <v>0</v>
      </c>
      <c r="AD84">
        <v>1</v>
      </c>
      <c r="AE84">
        <v>1</v>
      </c>
      <c r="AG84">
        <v>267</v>
      </c>
      <c r="AH84">
        <v>2</v>
      </c>
      <c r="AI84">
        <v>34389088</v>
      </c>
      <c r="AJ84">
        <v>85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</row>
    <row r="85" spans="1:44" ht="12.75">
      <c r="A85">
        <f>ROW(Source!A201)</f>
        <v>201</v>
      </c>
      <c r="B85">
        <v>34389098</v>
      </c>
      <c r="C85">
        <v>34389087</v>
      </c>
      <c r="D85">
        <v>7159942</v>
      </c>
      <c r="E85">
        <v>7157832</v>
      </c>
      <c r="F85">
        <v>1</v>
      </c>
      <c r="G85">
        <v>7157832</v>
      </c>
      <c r="H85">
        <v>2</v>
      </c>
      <c r="I85" t="s">
        <v>463</v>
      </c>
      <c r="K85" t="s">
        <v>464</v>
      </c>
      <c r="L85">
        <v>1344</v>
      </c>
      <c r="N85">
        <v>1008</v>
      </c>
      <c r="O85" t="s">
        <v>407</v>
      </c>
      <c r="P85" t="s">
        <v>407</v>
      </c>
      <c r="Q85">
        <v>1</v>
      </c>
      <c r="X85">
        <v>4.77</v>
      </c>
      <c r="Y85">
        <v>0</v>
      </c>
      <c r="Z85">
        <v>1</v>
      </c>
      <c r="AA85">
        <v>0</v>
      </c>
      <c r="AB85">
        <v>0</v>
      </c>
      <c r="AC85">
        <v>0</v>
      </c>
      <c r="AD85">
        <v>1</v>
      </c>
      <c r="AE85">
        <v>0</v>
      </c>
      <c r="AG85">
        <v>4.77</v>
      </c>
      <c r="AH85">
        <v>2</v>
      </c>
      <c r="AI85">
        <v>34389089</v>
      </c>
      <c r="AJ85">
        <v>86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</row>
    <row r="86" spans="1:44" ht="12.75">
      <c r="A86">
        <f>ROW(Source!A201)</f>
        <v>201</v>
      </c>
      <c r="B86">
        <v>34389099</v>
      </c>
      <c r="C86">
        <v>34389087</v>
      </c>
      <c r="D86">
        <v>7230977</v>
      </c>
      <c r="E86">
        <v>1</v>
      </c>
      <c r="F86">
        <v>1</v>
      </c>
      <c r="G86">
        <v>7157832</v>
      </c>
      <c r="H86">
        <v>2</v>
      </c>
      <c r="I86" t="s">
        <v>421</v>
      </c>
      <c r="J86" t="s">
        <v>422</v>
      </c>
      <c r="K86" t="s">
        <v>423</v>
      </c>
      <c r="L86">
        <v>1368</v>
      </c>
      <c r="N86">
        <v>1011</v>
      </c>
      <c r="O86" t="s">
        <v>211</v>
      </c>
      <c r="P86" t="s">
        <v>211</v>
      </c>
      <c r="Q86">
        <v>1</v>
      </c>
      <c r="X86">
        <v>11.76</v>
      </c>
      <c r="Y86">
        <v>0</v>
      </c>
      <c r="Z86">
        <v>140.58</v>
      </c>
      <c r="AA86">
        <v>28.61</v>
      </c>
      <c r="AB86">
        <v>0</v>
      </c>
      <c r="AC86">
        <v>0</v>
      </c>
      <c r="AD86">
        <v>1</v>
      </c>
      <c r="AE86">
        <v>0</v>
      </c>
      <c r="AG86">
        <v>11.76</v>
      </c>
      <c r="AH86">
        <v>2</v>
      </c>
      <c r="AI86">
        <v>34389090</v>
      </c>
      <c r="AJ86">
        <v>87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</row>
    <row r="87" spans="1:44" ht="12.75">
      <c r="A87">
        <f>ROW(Source!A201)</f>
        <v>201</v>
      </c>
      <c r="B87">
        <v>34389100</v>
      </c>
      <c r="C87">
        <v>34389087</v>
      </c>
      <c r="D87">
        <v>7231016</v>
      </c>
      <c r="E87">
        <v>1</v>
      </c>
      <c r="F87">
        <v>1</v>
      </c>
      <c r="G87">
        <v>7157832</v>
      </c>
      <c r="H87">
        <v>2</v>
      </c>
      <c r="I87" t="s">
        <v>465</v>
      </c>
      <c r="J87" t="s">
        <v>466</v>
      </c>
      <c r="K87" t="s">
        <v>467</v>
      </c>
      <c r="L87">
        <v>1368</v>
      </c>
      <c r="N87">
        <v>1011</v>
      </c>
      <c r="O87" t="s">
        <v>211</v>
      </c>
      <c r="P87" t="s">
        <v>211</v>
      </c>
      <c r="Q87">
        <v>1</v>
      </c>
      <c r="X87">
        <v>10.8</v>
      </c>
      <c r="Y87">
        <v>0</v>
      </c>
      <c r="Z87">
        <v>25.58</v>
      </c>
      <c r="AA87">
        <v>1.85</v>
      </c>
      <c r="AB87">
        <v>0</v>
      </c>
      <c r="AC87">
        <v>0</v>
      </c>
      <c r="AD87">
        <v>1</v>
      </c>
      <c r="AE87">
        <v>0</v>
      </c>
      <c r="AG87">
        <v>10.8</v>
      </c>
      <c r="AH87">
        <v>2</v>
      </c>
      <c r="AI87">
        <v>34389091</v>
      </c>
      <c r="AJ87">
        <v>88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ht="12.75">
      <c r="A88">
        <f>ROW(Source!A201)</f>
        <v>201</v>
      </c>
      <c r="B88">
        <v>34389101</v>
      </c>
      <c r="C88">
        <v>34389087</v>
      </c>
      <c r="D88">
        <v>7182707</v>
      </c>
      <c r="E88">
        <v>7157832</v>
      </c>
      <c r="F88">
        <v>1</v>
      </c>
      <c r="G88">
        <v>7157832</v>
      </c>
      <c r="H88">
        <v>3</v>
      </c>
      <c r="I88" t="s">
        <v>405</v>
      </c>
      <c r="K88" t="s">
        <v>406</v>
      </c>
      <c r="L88">
        <v>1344</v>
      </c>
      <c r="N88">
        <v>1008</v>
      </c>
      <c r="O88" t="s">
        <v>407</v>
      </c>
      <c r="P88" t="s">
        <v>407</v>
      </c>
      <c r="Q88">
        <v>1</v>
      </c>
      <c r="X88">
        <v>49.28</v>
      </c>
      <c r="Y88">
        <v>1</v>
      </c>
      <c r="Z88">
        <v>0</v>
      </c>
      <c r="AA88">
        <v>0</v>
      </c>
      <c r="AB88">
        <v>0</v>
      </c>
      <c r="AC88">
        <v>0</v>
      </c>
      <c r="AD88">
        <v>1</v>
      </c>
      <c r="AE88">
        <v>0</v>
      </c>
      <c r="AG88">
        <v>49.28</v>
      </c>
      <c r="AH88">
        <v>2</v>
      </c>
      <c r="AI88">
        <v>34389092</v>
      </c>
      <c r="AJ88">
        <v>89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ht="12.75">
      <c r="A89">
        <f>ROW(Source!A201)</f>
        <v>201</v>
      </c>
      <c r="B89">
        <v>34389102</v>
      </c>
      <c r="C89">
        <v>34389087</v>
      </c>
      <c r="D89">
        <v>7231827</v>
      </c>
      <c r="E89">
        <v>1</v>
      </c>
      <c r="F89">
        <v>1</v>
      </c>
      <c r="G89">
        <v>7157832</v>
      </c>
      <c r="H89">
        <v>3</v>
      </c>
      <c r="I89" t="s">
        <v>430</v>
      </c>
      <c r="J89" t="s">
        <v>431</v>
      </c>
      <c r="K89" t="s">
        <v>432</v>
      </c>
      <c r="L89">
        <v>1339</v>
      </c>
      <c r="N89">
        <v>1007</v>
      </c>
      <c r="O89" t="s">
        <v>42</v>
      </c>
      <c r="P89" t="s">
        <v>42</v>
      </c>
      <c r="Q89">
        <v>1</v>
      </c>
      <c r="X89">
        <v>178</v>
      </c>
      <c r="Y89">
        <v>7.07</v>
      </c>
      <c r="Z89">
        <v>0</v>
      </c>
      <c r="AA89">
        <v>0</v>
      </c>
      <c r="AB89">
        <v>0</v>
      </c>
      <c r="AC89">
        <v>0</v>
      </c>
      <c r="AD89">
        <v>1</v>
      </c>
      <c r="AE89">
        <v>0</v>
      </c>
      <c r="AG89">
        <v>178</v>
      </c>
      <c r="AH89">
        <v>2</v>
      </c>
      <c r="AI89">
        <v>34389093</v>
      </c>
      <c r="AJ89">
        <v>90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ht="12.75">
      <c r="A90">
        <f>ROW(Source!A201)</f>
        <v>201</v>
      </c>
      <c r="B90">
        <v>34389103</v>
      </c>
      <c r="C90">
        <v>34389087</v>
      </c>
      <c r="D90">
        <v>7231756</v>
      </c>
      <c r="E90">
        <v>1</v>
      </c>
      <c r="F90">
        <v>1</v>
      </c>
      <c r="G90">
        <v>7157832</v>
      </c>
      <c r="H90">
        <v>3</v>
      </c>
      <c r="I90" t="s">
        <v>468</v>
      </c>
      <c r="J90" t="s">
        <v>469</v>
      </c>
      <c r="K90" t="s">
        <v>470</v>
      </c>
      <c r="L90">
        <v>1348</v>
      </c>
      <c r="N90">
        <v>1009</v>
      </c>
      <c r="O90" t="s">
        <v>265</v>
      </c>
      <c r="P90" t="s">
        <v>265</v>
      </c>
      <c r="Q90">
        <v>1000</v>
      </c>
      <c r="X90">
        <v>0.09</v>
      </c>
      <c r="Y90">
        <v>3386.07</v>
      </c>
      <c r="Z90">
        <v>0</v>
      </c>
      <c r="AA90">
        <v>0</v>
      </c>
      <c r="AB90">
        <v>0</v>
      </c>
      <c r="AC90">
        <v>0</v>
      </c>
      <c r="AD90">
        <v>1</v>
      </c>
      <c r="AE90">
        <v>0</v>
      </c>
      <c r="AG90">
        <v>0.09</v>
      </c>
      <c r="AH90">
        <v>2</v>
      </c>
      <c r="AI90">
        <v>34389094</v>
      </c>
      <c r="AJ90">
        <v>91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ht="12.75">
      <c r="A91">
        <f>ROW(Source!A201)</f>
        <v>201</v>
      </c>
      <c r="B91">
        <v>34389104</v>
      </c>
      <c r="C91">
        <v>34389087</v>
      </c>
      <c r="D91">
        <v>7232456</v>
      </c>
      <c r="E91">
        <v>1</v>
      </c>
      <c r="F91">
        <v>1</v>
      </c>
      <c r="G91">
        <v>7157832</v>
      </c>
      <c r="H91">
        <v>3</v>
      </c>
      <c r="I91" t="s">
        <v>40</v>
      </c>
      <c r="J91" t="s">
        <v>43</v>
      </c>
      <c r="K91" t="s">
        <v>41</v>
      </c>
      <c r="L91">
        <v>1339</v>
      </c>
      <c r="N91">
        <v>1007</v>
      </c>
      <c r="O91" t="s">
        <v>42</v>
      </c>
      <c r="P91" t="s">
        <v>42</v>
      </c>
      <c r="Q91">
        <v>1</v>
      </c>
      <c r="X91">
        <v>40</v>
      </c>
      <c r="Y91">
        <v>104.99</v>
      </c>
      <c r="Z91">
        <v>0</v>
      </c>
      <c r="AA91">
        <v>0</v>
      </c>
      <c r="AB91">
        <v>0</v>
      </c>
      <c r="AC91">
        <v>0</v>
      </c>
      <c r="AD91">
        <v>1</v>
      </c>
      <c r="AE91">
        <v>0</v>
      </c>
      <c r="AG91">
        <v>40</v>
      </c>
      <c r="AH91">
        <v>2</v>
      </c>
      <c r="AI91">
        <v>34389095</v>
      </c>
      <c r="AJ91">
        <v>92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 ht="12.75">
      <c r="A92">
        <f>ROW(Source!A201)</f>
        <v>201</v>
      </c>
      <c r="B92">
        <v>34389105</v>
      </c>
      <c r="C92">
        <v>34389087</v>
      </c>
      <c r="D92">
        <v>7239912</v>
      </c>
      <c r="E92">
        <v>1</v>
      </c>
      <c r="F92">
        <v>1</v>
      </c>
      <c r="G92">
        <v>7157832</v>
      </c>
      <c r="H92">
        <v>3</v>
      </c>
      <c r="I92" t="s">
        <v>471</v>
      </c>
      <c r="J92" t="s">
        <v>472</v>
      </c>
      <c r="K92" t="s">
        <v>473</v>
      </c>
      <c r="L92">
        <v>1327</v>
      </c>
      <c r="N92">
        <v>1005</v>
      </c>
      <c r="O92" t="s">
        <v>73</v>
      </c>
      <c r="P92" t="s">
        <v>73</v>
      </c>
      <c r="Q92">
        <v>1</v>
      </c>
      <c r="X92">
        <v>10.2</v>
      </c>
      <c r="Y92">
        <v>90.15</v>
      </c>
      <c r="Z92">
        <v>0</v>
      </c>
      <c r="AA92">
        <v>0</v>
      </c>
      <c r="AB92">
        <v>0</v>
      </c>
      <c r="AC92">
        <v>0</v>
      </c>
      <c r="AD92">
        <v>1</v>
      </c>
      <c r="AE92">
        <v>0</v>
      </c>
      <c r="AG92">
        <v>10.2</v>
      </c>
      <c r="AH92">
        <v>2</v>
      </c>
      <c r="AI92">
        <v>34389096</v>
      </c>
      <c r="AJ92">
        <v>93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</row>
    <row r="93" spans="1:44" ht="12.75">
      <c r="A93">
        <f>ROW(Source!A201)</f>
        <v>201</v>
      </c>
      <c r="B93">
        <v>34389106</v>
      </c>
      <c r="C93">
        <v>34389087</v>
      </c>
      <c r="D93">
        <v>7178478</v>
      </c>
      <c r="E93">
        <v>7157832</v>
      </c>
      <c r="F93">
        <v>1</v>
      </c>
      <c r="G93">
        <v>7157832</v>
      </c>
      <c r="H93">
        <v>3</v>
      </c>
      <c r="I93" t="s">
        <v>512</v>
      </c>
      <c r="K93" t="s">
        <v>513</v>
      </c>
      <c r="L93">
        <v>1339</v>
      </c>
      <c r="N93">
        <v>1007</v>
      </c>
      <c r="O93" t="s">
        <v>42</v>
      </c>
      <c r="P93" t="s">
        <v>42</v>
      </c>
      <c r="Q93">
        <v>1</v>
      </c>
      <c r="X93">
        <v>162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G93">
        <v>162</v>
      </c>
      <c r="AH93">
        <v>3</v>
      </c>
      <c r="AI93">
        <v>-1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</row>
    <row r="94" spans="1:44" ht="12.75">
      <c r="A94">
        <f>ROW(Source!A202)</f>
        <v>202</v>
      </c>
      <c r="B94">
        <v>34389118</v>
      </c>
      <c r="C94">
        <v>34389107</v>
      </c>
      <c r="D94">
        <v>7157835</v>
      </c>
      <c r="E94">
        <v>7157832</v>
      </c>
      <c r="F94">
        <v>1</v>
      </c>
      <c r="G94">
        <v>7157832</v>
      </c>
      <c r="H94">
        <v>1</v>
      </c>
      <c r="I94" t="s">
        <v>399</v>
      </c>
      <c r="K94" t="s">
        <v>400</v>
      </c>
      <c r="L94">
        <v>1191</v>
      </c>
      <c r="N94">
        <v>1013</v>
      </c>
      <c r="O94" t="s">
        <v>401</v>
      </c>
      <c r="P94" t="s">
        <v>401</v>
      </c>
      <c r="Q94">
        <v>1</v>
      </c>
      <c r="X94">
        <v>4.29</v>
      </c>
      <c r="Y94">
        <v>0</v>
      </c>
      <c r="Z94">
        <v>0</v>
      </c>
      <c r="AA94">
        <v>0</v>
      </c>
      <c r="AB94">
        <v>0</v>
      </c>
      <c r="AC94">
        <v>0</v>
      </c>
      <c r="AD94">
        <v>1</v>
      </c>
      <c r="AE94">
        <v>1</v>
      </c>
      <c r="AG94">
        <v>4.29</v>
      </c>
      <c r="AH94">
        <v>2</v>
      </c>
      <c r="AI94">
        <v>34389108</v>
      </c>
      <c r="AJ94">
        <v>94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</row>
    <row r="95" spans="1:44" ht="12.75">
      <c r="A95">
        <f>ROW(Source!A202)</f>
        <v>202</v>
      </c>
      <c r="B95">
        <v>34389119</v>
      </c>
      <c r="C95">
        <v>34389107</v>
      </c>
      <c r="D95">
        <v>7231127</v>
      </c>
      <c r="E95">
        <v>1</v>
      </c>
      <c r="F95">
        <v>1</v>
      </c>
      <c r="G95">
        <v>7157832</v>
      </c>
      <c r="H95">
        <v>2</v>
      </c>
      <c r="I95" t="s">
        <v>442</v>
      </c>
      <c r="J95" t="s">
        <v>443</v>
      </c>
      <c r="K95" t="s">
        <v>444</v>
      </c>
      <c r="L95">
        <v>1368</v>
      </c>
      <c r="N95">
        <v>1011</v>
      </c>
      <c r="O95" t="s">
        <v>211</v>
      </c>
      <c r="P95" t="s">
        <v>211</v>
      </c>
      <c r="Q95">
        <v>1</v>
      </c>
      <c r="X95">
        <v>0.3</v>
      </c>
      <c r="Y95">
        <v>0</v>
      </c>
      <c r="Z95">
        <v>60.77</v>
      </c>
      <c r="AA95">
        <v>18.48</v>
      </c>
      <c r="AB95">
        <v>0</v>
      </c>
      <c r="AC95">
        <v>0</v>
      </c>
      <c r="AD95">
        <v>1</v>
      </c>
      <c r="AE95">
        <v>0</v>
      </c>
      <c r="AG95">
        <v>0.3</v>
      </c>
      <c r="AH95">
        <v>2</v>
      </c>
      <c r="AI95">
        <v>34389109</v>
      </c>
      <c r="AJ95">
        <v>95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</row>
    <row r="96" spans="1:44" ht="12.75">
      <c r="A96">
        <f>ROW(Source!A202)</f>
        <v>202</v>
      </c>
      <c r="B96">
        <v>34389120</v>
      </c>
      <c r="C96">
        <v>34389107</v>
      </c>
      <c r="D96">
        <v>7230893</v>
      </c>
      <c r="E96">
        <v>1</v>
      </c>
      <c r="F96">
        <v>1</v>
      </c>
      <c r="G96">
        <v>7157832</v>
      </c>
      <c r="H96">
        <v>2</v>
      </c>
      <c r="I96" t="s">
        <v>445</v>
      </c>
      <c r="J96" t="s">
        <v>446</v>
      </c>
      <c r="K96" t="s">
        <v>447</v>
      </c>
      <c r="L96">
        <v>1368</v>
      </c>
      <c r="N96">
        <v>1011</v>
      </c>
      <c r="O96" t="s">
        <v>211</v>
      </c>
      <c r="P96" t="s">
        <v>211</v>
      </c>
      <c r="Q96">
        <v>1</v>
      </c>
      <c r="X96">
        <v>0.3</v>
      </c>
      <c r="Y96">
        <v>0</v>
      </c>
      <c r="Z96">
        <v>106.74</v>
      </c>
      <c r="AA96">
        <v>19.2</v>
      </c>
      <c r="AB96">
        <v>0</v>
      </c>
      <c r="AC96">
        <v>0</v>
      </c>
      <c r="AD96">
        <v>1</v>
      </c>
      <c r="AE96">
        <v>0</v>
      </c>
      <c r="AG96">
        <v>0.3</v>
      </c>
      <c r="AH96">
        <v>2</v>
      </c>
      <c r="AI96">
        <v>34389110</v>
      </c>
      <c r="AJ96">
        <v>96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 ht="12.75">
      <c r="A97">
        <f>ROW(Source!A202)</f>
        <v>202</v>
      </c>
      <c r="B97">
        <v>34389121</v>
      </c>
      <c r="C97">
        <v>34389107</v>
      </c>
      <c r="D97">
        <v>7230976</v>
      </c>
      <c r="E97">
        <v>1</v>
      </c>
      <c r="F97">
        <v>1</v>
      </c>
      <c r="G97">
        <v>7157832</v>
      </c>
      <c r="H97">
        <v>2</v>
      </c>
      <c r="I97" t="s">
        <v>448</v>
      </c>
      <c r="J97" t="s">
        <v>449</v>
      </c>
      <c r="K97" t="s">
        <v>450</v>
      </c>
      <c r="L97">
        <v>1368</v>
      </c>
      <c r="N97">
        <v>1011</v>
      </c>
      <c r="O97" t="s">
        <v>211</v>
      </c>
      <c r="P97" t="s">
        <v>211</v>
      </c>
      <c r="Q97">
        <v>1</v>
      </c>
      <c r="X97">
        <v>0.3</v>
      </c>
      <c r="Y97">
        <v>0</v>
      </c>
      <c r="Z97">
        <v>148.89</v>
      </c>
      <c r="AA97">
        <v>28.61</v>
      </c>
      <c r="AB97">
        <v>0</v>
      </c>
      <c r="AC97">
        <v>0</v>
      </c>
      <c r="AD97">
        <v>1</v>
      </c>
      <c r="AE97">
        <v>0</v>
      </c>
      <c r="AG97">
        <v>0.3</v>
      </c>
      <c r="AH97">
        <v>2</v>
      </c>
      <c r="AI97">
        <v>34389111</v>
      </c>
      <c r="AJ97">
        <v>97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ht="12.75">
      <c r="A98">
        <f>ROW(Source!A202)</f>
        <v>202</v>
      </c>
      <c r="B98">
        <v>34389122</v>
      </c>
      <c r="C98">
        <v>34389107</v>
      </c>
      <c r="D98">
        <v>7230978</v>
      </c>
      <c r="E98">
        <v>1</v>
      </c>
      <c r="F98">
        <v>1</v>
      </c>
      <c r="G98">
        <v>7157832</v>
      </c>
      <c r="H98">
        <v>2</v>
      </c>
      <c r="I98" t="s">
        <v>451</v>
      </c>
      <c r="J98" t="s">
        <v>452</v>
      </c>
      <c r="K98" t="s">
        <v>453</v>
      </c>
      <c r="L98">
        <v>1368</v>
      </c>
      <c r="N98">
        <v>1011</v>
      </c>
      <c r="O98" t="s">
        <v>211</v>
      </c>
      <c r="P98" t="s">
        <v>211</v>
      </c>
      <c r="Q98">
        <v>1</v>
      </c>
      <c r="X98">
        <v>0.3</v>
      </c>
      <c r="Y98">
        <v>0</v>
      </c>
      <c r="Z98">
        <v>249.15</v>
      </c>
      <c r="AA98">
        <v>42.85</v>
      </c>
      <c r="AB98">
        <v>0</v>
      </c>
      <c r="AC98">
        <v>0</v>
      </c>
      <c r="AD98">
        <v>1</v>
      </c>
      <c r="AE98">
        <v>0</v>
      </c>
      <c r="AG98">
        <v>0.3</v>
      </c>
      <c r="AH98">
        <v>2</v>
      </c>
      <c r="AI98">
        <v>34389112</v>
      </c>
      <c r="AJ98">
        <v>98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ht="12.75">
      <c r="A99">
        <f>ROW(Source!A202)</f>
        <v>202</v>
      </c>
      <c r="B99">
        <v>34389123</v>
      </c>
      <c r="C99">
        <v>34389107</v>
      </c>
      <c r="D99">
        <v>7230962</v>
      </c>
      <c r="E99">
        <v>1</v>
      </c>
      <c r="F99">
        <v>1</v>
      </c>
      <c r="G99">
        <v>7157832</v>
      </c>
      <c r="H99">
        <v>2</v>
      </c>
      <c r="I99" t="s">
        <v>436</v>
      </c>
      <c r="J99" t="s">
        <v>437</v>
      </c>
      <c r="K99" t="s">
        <v>438</v>
      </c>
      <c r="L99">
        <v>1368</v>
      </c>
      <c r="N99">
        <v>1011</v>
      </c>
      <c r="O99" t="s">
        <v>211</v>
      </c>
      <c r="P99" t="s">
        <v>211</v>
      </c>
      <c r="Q99">
        <v>1</v>
      </c>
      <c r="X99">
        <v>0.3</v>
      </c>
      <c r="Y99">
        <v>0</v>
      </c>
      <c r="Z99">
        <v>84.82</v>
      </c>
      <c r="AA99">
        <v>22.85</v>
      </c>
      <c r="AB99">
        <v>0</v>
      </c>
      <c r="AC99">
        <v>0</v>
      </c>
      <c r="AD99">
        <v>1</v>
      </c>
      <c r="AE99">
        <v>0</v>
      </c>
      <c r="AG99">
        <v>0.3</v>
      </c>
      <c r="AH99">
        <v>2</v>
      </c>
      <c r="AI99">
        <v>34389113</v>
      </c>
      <c r="AJ99">
        <v>99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ht="12.75">
      <c r="A100">
        <f>ROW(Source!A202)</f>
        <v>202</v>
      </c>
      <c r="B100">
        <v>34389124</v>
      </c>
      <c r="C100">
        <v>34389107</v>
      </c>
      <c r="D100">
        <v>7230993</v>
      </c>
      <c r="E100">
        <v>1</v>
      </c>
      <c r="F100">
        <v>1</v>
      </c>
      <c r="G100">
        <v>7157832</v>
      </c>
      <c r="H100">
        <v>2</v>
      </c>
      <c r="I100" t="s">
        <v>454</v>
      </c>
      <c r="J100" t="s">
        <v>455</v>
      </c>
      <c r="K100" t="s">
        <v>456</v>
      </c>
      <c r="L100">
        <v>1368</v>
      </c>
      <c r="N100">
        <v>1011</v>
      </c>
      <c r="O100" t="s">
        <v>211</v>
      </c>
      <c r="P100" t="s">
        <v>211</v>
      </c>
      <c r="Q100">
        <v>1</v>
      </c>
      <c r="X100">
        <v>0.3</v>
      </c>
      <c r="Y100">
        <v>0</v>
      </c>
      <c r="Z100">
        <v>124.6</v>
      </c>
      <c r="AA100">
        <v>28.4</v>
      </c>
      <c r="AB100">
        <v>0</v>
      </c>
      <c r="AC100">
        <v>0</v>
      </c>
      <c r="AD100">
        <v>1</v>
      </c>
      <c r="AE100">
        <v>0</v>
      </c>
      <c r="AG100">
        <v>0.3</v>
      </c>
      <c r="AH100">
        <v>2</v>
      </c>
      <c r="AI100">
        <v>34389114</v>
      </c>
      <c r="AJ100">
        <v>100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</row>
    <row r="101" spans="1:44" ht="12.75">
      <c r="A101">
        <f>ROW(Source!A202)</f>
        <v>202</v>
      </c>
      <c r="B101">
        <v>34389125</v>
      </c>
      <c r="C101">
        <v>34389107</v>
      </c>
      <c r="D101">
        <v>7230966</v>
      </c>
      <c r="E101">
        <v>1</v>
      </c>
      <c r="F101">
        <v>1</v>
      </c>
      <c r="G101">
        <v>7157832</v>
      </c>
      <c r="H101">
        <v>2</v>
      </c>
      <c r="I101" t="s">
        <v>457</v>
      </c>
      <c r="J101" t="s">
        <v>458</v>
      </c>
      <c r="K101" t="s">
        <v>459</v>
      </c>
      <c r="L101">
        <v>1368</v>
      </c>
      <c r="N101">
        <v>1011</v>
      </c>
      <c r="O101" t="s">
        <v>211</v>
      </c>
      <c r="P101" t="s">
        <v>211</v>
      </c>
      <c r="Q101">
        <v>1</v>
      </c>
      <c r="X101">
        <v>0.3</v>
      </c>
      <c r="Y101">
        <v>0</v>
      </c>
      <c r="Z101">
        <v>88.4</v>
      </c>
      <c r="AA101">
        <v>23.18</v>
      </c>
      <c r="AB101">
        <v>0</v>
      </c>
      <c r="AC101">
        <v>0</v>
      </c>
      <c r="AD101">
        <v>1</v>
      </c>
      <c r="AE101">
        <v>0</v>
      </c>
      <c r="AG101">
        <v>0.3</v>
      </c>
      <c r="AH101">
        <v>2</v>
      </c>
      <c r="AI101">
        <v>34389115</v>
      </c>
      <c r="AJ101">
        <v>101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 ht="12.75">
      <c r="A102">
        <f>ROW(Source!A202)</f>
        <v>202</v>
      </c>
      <c r="B102">
        <v>34389126</v>
      </c>
      <c r="C102">
        <v>34389107</v>
      </c>
      <c r="D102">
        <v>7230967</v>
      </c>
      <c r="E102">
        <v>1</v>
      </c>
      <c r="F102">
        <v>1</v>
      </c>
      <c r="G102">
        <v>7157832</v>
      </c>
      <c r="H102">
        <v>2</v>
      </c>
      <c r="I102" t="s">
        <v>427</v>
      </c>
      <c r="J102" t="s">
        <v>428</v>
      </c>
      <c r="K102" t="s">
        <v>429</v>
      </c>
      <c r="L102">
        <v>1368</v>
      </c>
      <c r="N102">
        <v>1011</v>
      </c>
      <c r="O102" t="s">
        <v>211</v>
      </c>
      <c r="P102" t="s">
        <v>211</v>
      </c>
      <c r="Q102">
        <v>1</v>
      </c>
      <c r="X102">
        <v>0.9</v>
      </c>
      <c r="Y102">
        <v>0</v>
      </c>
      <c r="Z102">
        <v>178.02</v>
      </c>
      <c r="AA102">
        <v>23.5</v>
      </c>
      <c r="AB102">
        <v>0</v>
      </c>
      <c r="AC102">
        <v>0</v>
      </c>
      <c r="AD102">
        <v>1</v>
      </c>
      <c r="AE102">
        <v>0</v>
      </c>
      <c r="AG102">
        <v>0.9</v>
      </c>
      <c r="AH102">
        <v>2</v>
      </c>
      <c r="AI102">
        <v>34389116</v>
      </c>
      <c r="AJ102">
        <v>102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</row>
    <row r="103" spans="1:44" ht="12.75">
      <c r="A103">
        <f>ROW(Source!A202)</f>
        <v>202</v>
      </c>
      <c r="B103">
        <v>34389127</v>
      </c>
      <c r="C103">
        <v>34389107</v>
      </c>
      <c r="D103">
        <v>7235091</v>
      </c>
      <c r="E103">
        <v>1</v>
      </c>
      <c r="F103">
        <v>1</v>
      </c>
      <c r="G103">
        <v>7157832</v>
      </c>
      <c r="H103">
        <v>3</v>
      </c>
      <c r="I103" t="s">
        <v>460</v>
      </c>
      <c r="J103" t="s">
        <v>461</v>
      </c>
      <c r="K103" t="s">
        <v>462</v>
      </c>
      <c r="L103">
        <v>1348</v>
      </c>
      <c r="N103">
        <v>1009</v>
      </c>
      <c r="O103" t="s">
        <v>265</v>
      </c>
      <c r="P103" t="s">
        <v>265</v>
      </c>
      <c r="Q103">
        <v>1000</v>
      </c>
      <c r="X103">
        <v>0.04</v>
      </c>
      <c r="Y103">
        <v>1445.87</v>
      </c>
      <c r="Z103">
        <v>0</v>
      </c>
      <c r="AA103">
        <v>0</v>
      </c>
      <c r="AB103">
        <v>0</v>
      </c>
      <c r="AC103">
        <v>0</v>
      </c>
      <c r="AD103">
        <v>1</v>
      </c>
      <c r="AE103">
        <v>0</v>
      </c>
      <c r="AG103">
        <v>0.04</v>
      </c>
      <c r="AH103">
        <v>2</v>
      </c>
      <c r="AI103">
        <v>34389117</v>
      </c>
      <c r="AJ103">
        <v>103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</row>
    <row r="104" spans="1:44" ht="12.75">
      <c r="A104">
        <f>ROW(Source!A202)</f>
        <v>202</v>
      </c>
      <c r="B104">
        <v>34389128</v>
      </c>
      <c r="C104">
        <v>34389107</v>
      </c>
      <c r="D104">
        <v>7178138</v>
      </c>
      <c r="E104">
        <v>7157832</v>
      </c>
      <c r="F104">
        <v>1</v>
      </c>
      <c r="G104">
        <v>7157832</v>
      </c>
      <c r="H104">
        <v>3</v>
      </c>
      <c r="I104" t="s">
        <v>510</v>
      </c>
      <c r="K104" t="s">
        <v>511</v>
      </c>
      <c r="L104">
        <v>1348</v>
      </c>
      <c r="N104">
        <v>1009</v>
      </c>
      <c r="O104" t="s">
        <v>265</v>
      </c>
      <c r="P104" t="s">
        <v>265</v>
      </c>
      <c r="Q104">
        <v>1000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G104">
        <v>0</v>
      </c>
      <c r="AH104">
        <v>3</v>
      </c>
      <c r="AI104">
        <v>-1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</row>
    <row r="105" spans="1:44" ht="12.75">
      <c r="A105">
        <f>ROW(Source!A203)</f>
        <v>203</v>
      </c>
      <c r="B105">
        <v>34389133</v>
      </c>
      <c r="C105">
        <v>34389129</v>
      </c>
      <c r="D105">
        <v>7157835</v>
      </c>
      <c r="E105">
        <v>7157832</v>
      </c>
      <c r="F105">
        <v>1</v>
      </c>
      <c r="G105">
        <v>7157832</v>
      </c>
      <c r="H105">
        <v>1</v>
      </c>
      <c r="I105" t="s">
        <v>399</v>
      </c>
      <c r="K105" t="s">
        <v>400</v>
      </c>
      <c r="L105">
        <v>1191</v>
      </c>
      <c r="N105">
        <v>1013</v>
      </c>
      <c r="O105" t="s">
        <v>401</v>
      </c>
      <c r="P105" t="s">
        <v>401</v>
      </c>
      <c r="Q105">
        <v>1</v>
      </c>
      <c r="X105">
        <v>0.53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1</v>
      </c>
      <c r="AE105">
        <v>1</v>
      </c>
      <c r="AG105">
        <v>0.53</v>
      </c>
      <c r="AH105">
        <v>2</v>
      </c>
      <c r="AI105">
        <v>34389130</v>
      </c>
      <c r="AJ105">
        <v>104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 ht="12.75">
      <c r="A106">
        <f>ROW(Source!A203)</f>
        <v>203</v>
      </c>
      <c r="B106">
        <v>34389134</v>
      </c>
      <c r="C106">
        <v>34389129</v>
      </c>
      <c r="D106">
        <v>7230893</v>
      </c>
      <c r="E106">
        <v>1</v>
      </c>
      <c r="F106">
        <v>1</v>
      </c>
      <c r="G106">
        <v>7157832</v>
      </c>
      <c r="H106">
        <v>2</v>
      </c>
      <c r="I106" t="s">
        <v>445</v>
      </c>
      <c r="J106" t="s">
        <v>446</v>
      </c>
      <c r="K106" t="s">
        <v>447</v>
      </c>
      <c r="L106">
        <v>1368</v>
      </c>
      <c r="N106">
        <v>1011</v>
      </c>
      <c r="O106" t="s">
        <v>211</v>
      </c>
      <c r="P106" t="s">
        <v>211</v>
      </c>
      <c r="Q106">
        <v>1</v>
      </c>
      <c r="X106">
        <v>0.075</v>
      </c>
      <c r="Y106">
        <v>0</v>
      </c>
      <c r="Z106">
        <v>106.74</v>
      </c>
      <c r="AA106">
        <v>19.2</v>
      </c>
      <c r="AB106">
        <v>0</v>
      </c>
      <c r="AC106">
        <v>0</v>
      </c>
      <c r="AD106">
        <v>1</v>
      </c>
      <c r="AE106">
        <v>0</v>
      </c>
      <c r="AG106">
        <v>0.075</v>
      </c>
      <c r="AH106">
        <v>2</v>
      </c>
      <c r="AI106">
        <v>34389131</v>
      </c>
      <c r="AJ106">
        <v>105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</row>
    <row r="107" spans="1:44" ht="12.75">
      <c r="A107">
        <f>ROW(Source!A203)</f>
        <v>203</v>
      </c>
      <c r="B107">
        <v>34389135</v>
      </c>
      <c r="C107">
        <v>34389129</v>
      </c>
      <c r="D107">
        <v>7230993</v>
      </c>
      <c r="E107">
        <v>1</v>
      </c>
      <c r="F107">
        <v>1</v>
      </c>
      <c r="G107">
        <v>7157832</v>
      </c>
      <c r="H107">
        <v>2</v>
      </c>
      <c r="I107" t="s">
        <v>454</v>
      </c>
      <c r="J107" t="s">
        <v>455</v>
      </c>
      <c r="K107" t="s">
        <v>456</v>
      </c>
      <c r="L107">
        <v>1368</v>
      </c>
      <c r="N107">
        <v>1011</v>
      </c>
      <c r="O107" t="s">
        <v>211</v>
      </c>
      <c r="P107" t="s">
        <v>211</v>
      </c>
      <c r="Q107">
        <v>1</v>
      </c>
      <c r="X107">
        <v>0.075</v>
      </c>
      <c r="Y107">
        <v>0</v>
      </c>
      <c r="Z107">
        <v>124.6</v>
      </c>
      <c r="AA107">
        <v>28.4</v>
      </c>
      <c r="AB107">
        <v>0</v>
      </c>
      <c r="AC107">
        <v>0</v>
      </c>
      <c r="AD107">
        <v>1</v>
      </c>
      <c r="AE107">
        <v>0</v>
      </c>
      <c r="AG107">
        <v>0.075</v>
      </c>
      <c r="AH107">
        <v>2</v>
      </c>
      <c r="AI107">
        <v>34389132</v>
      </c>
      <c r="AJ107">
        <v>106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 ht="12.75">
      <c r="A108">
        <f>ROW(Source!A203)</f>
        <v>203</v>
      </c>
      <c r="B108">
        <v>34389136</v>
      </c>
      <c r="C108">
        <v>34389129</v>
      </c>
      <c r="D108">
        <v>7178138</v>
      </c>
      <c r="E108">
        <v>7157832</v>
      </c>
      <c r="F108">
        <v>1</v>
      </c>
      <c r="G108">
        <v>7157832</v>
      </c>
      <c r="H108">
        <v>3</v>
      </c>
      <c r="I108" t="s">
        <v>510</v>
      </c>
      <c r="K108" t="s">
        <v>511</v>
      </c>
      <c r="L108">
        <v>1348</v>
      </c>
      <c r="N108">
        <v>1009</v>
      </c>
      <c r="O108" t="s">
        <v>265</v>
      </c>
      <c r="P108" t="s">
        <v>265</v>
      </c>
      <c r="Q108">
        <v>1000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G108">
        <v>0</v>
      </c>
      <c r="AH108">
        <v>3</v>
      </c>
      <c r="AI108">
        <v>-1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 ht="12.75">
      <c r="A109">
        <f>ROW(Source!A205)</f>
        <v>205</v>
      </c>
      <c r="B109">
        <v>34389149</v>
      </c>
      <c r="C109">
        <v>34389138</v>
      </c>
      <c r="D109">
        <v>7157835</v>
      </c>
      <c r="E109">
        <v>7157832</v>
      </c>
      <c r="F109">
        <v>1</v>
      </c>
      <c r="G109">
        <v>7157832</v>
      </c>
      <c r="H109">
        <v>1</v>
      </c>
      <c r="I109" t="s">
        <v>399</v>
      </c>
      <c r="K109" t="s">
        <v>400</v>
      </c>
      <c r="L109">
        <v>1191</v>
      </c>
      <c r="N109">
        <v>1013</v>
      </c>
      <c r="O109" t="s">
        <v>401</v>
      </c>
      <c r="P109" t="s">
        <v>401</v>
      </c>
      <c r="Q109">
        <v>1</v>
      </c>
      <c r="X109">
        <v>4.29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1</v>
      </c>
      <c r="AE109">
        <v>1</v>
      </c>
      <c r="AG109">
        <v>4.29</v>
      </c>
      <c r="AH109">
        <v>2</v>
      </c>
      <c r="AI109">
        <v>34389139</v>
      </c>
      <c r="AJ109">
        <v>107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ht="12.75">
      <c r="A110">
        <f>ROW(Source!A205)</f>
        <v>205</v>
      </c>
      <c r="B110">
        <v>34389150</v>
      </c>
      <c r="C110">
        <v>34389138</v>
      </c>
      <c r="D110">
        <v>7231127</v>
      </c>
      <c r="E110">
        <v>1</v>
      </c>
      <c r="F110">
        <v>1</v>
      </c>
      <c r="G110">
        <v>7157832</v>
      </c>
      <c r="H110">
        <v>2</v>
      </c>
      <c r="I110" t="s">
        <v>442</v>
      </c>
      <c r="J110" t="s">
        <v>443</v>
      </c>
      <c r="K110" t="s">
        <v>444</v>
      </c>
      <c r="L110">
        <v>1368</v>
      </c>
      <c r="N110">
        <v>1011</v>
      </c>
      <c r="O110" t="s">
        <v>211</v>
      </c>
      <c r="P110" t="s">
        <v>211</v>
      </c>
      <c r="Q110">
        <v>1</v>
      </c>
      <c r="X110">
        <v>0.3</v>
      </c>
      <c r="Y110">
        <v>0</v>
      </c>
      <c r="Z110">
        <v>60.77</v>
      </c>
      <c r="AA110">
        <v>18.48</v>
      </c>
      <c r="AB110">
        <v>0</v>
      </c>
      <c r="AC110">
        <v>0</v>
      </c>
      <c r="AD110">
        <v>1</v>
      </c>
      <c r="AE110">
        <v>0</v>
      </c>
      <c r="AG110">
        <v>0.3</v>
      </c>
      <c r="AH110">
        <v>2</v>
      </c>
      <c r="AI110">
        <v>34389140</v>
      </c>
      <c r="AJ110">
        <v>108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</row>
    <row r="111" spans="1:44" ht="12.75">
      <c r="A111">
        <f>ROW(Source!A205)</f>
        <v>205</v>
      </c>
      <c r="B111">
        <v>34389151</v>
      </c>
      <c r="C111">
        <v>34389138</v>
      </c>
      <c r="D111">
        <v>7230893</v>
      </c>
      <c r="E111">
        <v>1</v>
      </c>
      <c r="F111">
        <v>1</v>
      </c>
      <c r="G111">
        <v>7157832</v>
      </c>
      <c r="H111">
        <v>2</v>
      </c>
      <c r="I111" t="s">
        <v>445</v>
      </c>
      <c r="J111" t="s">
        <v>446</v>
      </c>
      <c r="K111" t="s">
        <v>447</v>
      </c>
      <c r="L111">
        <v>1368</v>
      </c>
      <c r="N111">
        <v>1011</v>
      </c>
      <c r="O111" t="s">
        <v>211</v>
      </c>
      <c r="P111" t="s">
        <v>211</v>
      </c>
      <c r="Q111">
        <v>1</v>
      </c>
      <c r="X111">
        <v>0.3</v>
      </c>
      <c r="Y111">
        <v>0</v>
      </c>
      <c r="Z111">
        <v>106.74</v>
      </c>
      <c r="AA111">
        <v>19.2</v>
      </c>
      <c r="AB111">
        <v>0</v>
      </c>
      <c r="AC111">
        <v>0</v>
      </c>
      <c r="AD111">
        <v>1</v>
      </c>
      <c r="AE111">
        <v>0</v>
      </c>
      <c r="AG111">
        <v>0.3</v>
      </c>
      <c r="AH111">
        <v>2</v>
      </c>
      <c r="AI111">
        <v>34389141</v>
      </c>
      <c r="AJ111">
        <v>109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</row>
    <row r="112" spans="1:44" ht="12.75">
      <c r="A112">
        <f>ROW(Source!A205)</f>
        <v>205</v>
      </c>
      <c r="B112">
        <v>34389152</v>
      </c>
      <c r="C112">
        <v>34389138</v>
      </c>
      <c r="D112">
        <v>7230976</v>
      </c>
      <c r="E112">
        <v>1</v>
      </c>
      <c r="F112">
        <v>1</v>
      </c>
      <c r="G112">
        <v>7157832</v>
      </c>
      <c r="H112">
        <v>2</v>
      </c>
      <c r="I112" t="s">
        <v>448</v>
      </c>
      <c r="J112" t="s">
        <v>449</v>
      </c>
      <c r="K112" t="s">
        <v>450</v>
      </c>
      <c r="L112">
        <v>1368</v>
      </c>
      <c r="N112">
        <v>1011</v>
      </c>
      <c r="O112" t="s">
        <v>211</v>
      </c>
      <c r="P112" t="s">
        <v>211</v>
      </c>
      <c r="Q112">
        <v>1</v>
      </c>
      <c r="X112">
        <v>0.3</v>
      </c>
      <c r="Y112">
        <v>0</v>
      </c>
      <c r="Z112">
        <v>148.89</v>
      </c>
      <c r="AA112">
        <v>28.61</v>
      </c>
      <c r="AB112">
        <v>0</v>
      </c>
      <c r="AC112">
        <v>0</v>
      </c>
      <c r="AD112">
        <v>1</v>
      </c>
      <c r="AE112">
        <v>0</v>
      </c>
      <c r="AG112">
        <v>0.3</v>
      </c>
      <c r="AH112">
        <v>2</v>
      </c>
      <c r="AI112">
        <v>34389142</v>
      </c>
      <c r="AJ112">
        <v>110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</row>
    <row r="113" spans="1:44" ht="12.75">
      <c r="A113">
        <f>ROW(Source!A205)</f>
        <v>205</v>
      </c>
      <c r="B113">
        <v>34389153</v>
      </c>
      <c r="C113">
        <v>34389138</v>
      </c>
      <c r="D113">
        <v>7230978</v>
      </c>
      <c r="E113">
        <v>1</v>
      </c>
      <c r="F113">
        <v>1</v>
      </c>
      <c r="G113">
        <v>7157832</v>
      </c>
      <c r="H113">
        <v>2</v>
      </c>
      <c r="I113" t="s">
        <v>451</v>
      </c>
      <c r="J113" t="s">
        <v>452</v>
      </c>
      <c r="K113" t="s">
        <v>453</v>
      </c>
      <c r="L113">
        <v>1368</v>
      </c>
      <c r="N113">
        <v>1011</v>
      </c>
      <c r="O113" t="s">
        <v>211</v>
      </c>
      <c r="P113" t="s">
        <v>211</v>
      </c>
      <c r="Q113">
        <v>1</v>
      </c>
      <c r="X113">
        <v>0.3</v>
      </c>
      <c r="Y113">
        <v>0</v>
      </c>
      <c r="Z113">
        <v>249.15</v>
      </c>
      <c r="AA113">
        <v>42.85</v>
      </c>
      <c r="AB113">
        <v>0</v>
      </c>
      <c r="AC113">
        <v>0</v>
      </c>
      <c r="AD113">
        <v>1</v>
      </c>
      <c r="AE113">
        <v>0</v>
      </c>
      <c r="AG113">
        <v>0.3</v>
      </c>
      <c r="AH113">
        <v>2</v>
      </c>
      <c r="AI113">
        <v>34389143</v>
      </c>
      <c r="AJ113">
        <v>111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</row>
    <row r="114" spans="1:44" ht="12.75">
      <c r="A114">
        <f>ROW(Source!A205)</f>
        <v>205</v>
      </c>
      <c r="B114">
        <v>34389154</v>
      </c>
      <c r="C114">
        <v>34389138</v>
      </c>
      <c r="D114">
        <v>7230962</v>
      </c>
      <c r="E114">
        <v>1</v>
      </c>
      <c r="F114">
        <v>1</v>
      </c>
      <c r="G114">
        <v>7157832</v>
      </c>
      <c r="H114">
        <v>2</v>
      </c>
      <c r="I114" t="s">
        <v>436</v>
      </c>
      <c r="J114" t="s">
        <v>437</v>
      </c>
      <c r="K114" t="s">
        <v>438</v>
      </c>
      <c r="L114">
        <v>1368</v>
      </c>
      <c r="N114">
        <v>1011</v>
      </c>
      <c r="O114" t="s">
        <v>211</v>
      </c>
      <c r="P114" t="s">
        <v>211</v>
      </c>
      <c r="Q114">
        <v>1</v>
      </c>
      <c r="X114">
        <v>0.3</v>
      </c>
      <c r="Y114">
        <v>0</v>
      </c>
      <c r="Z114">
        <v>84.82</v>
      </c>
      <c r="AA114">
        <v>22.85</v>
      </c>
      <c r="AB114">
        <v>0</v>
      </c>
      <c r="AC114">
        <v>0</v>
      </c>
      <c r="AD114">
        <v>1</v>
      </c>
      <c r="AE114">
        <v>0</v>
      </c>
      <c r="AG114">
        <v>0.3</v>
      </c>
      <c r="AH114">
        <v>2</v>
      </c>
      <c r="AI114">
        <v>34389144</v>
      </c>
      <c r="AJ114">
        <v>112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ht="12.75">
      <c r="A115">
        <f>ROW(Source!A205)</f>
        <v>205</v>
      </c>
      <c r="B115">
        <v>34389155</v>
      </c>
      <c r="C115">
        <v>34389138</v>
      </c>
      <c r="D115">
        <v>7230993</v>
      </c>
      <c r="E115">
        <v>1</v>
      </c>
      <c r="F115">
        <v>1</v>
      </c>
      <c r="G115">
        <v>7157832</v>
      </c>
      <c r="H115">
        <v>2</v>
      </c>
      <c r="I115" t="s">
        <v>454</v>
      </c>
      <c r="J115" t="s">
        <v>455</v>
      </c>
      <c r="K115" t="s">
        <v>456</v>
      </c>
      <c r="L115">
        <v>1368</v>
      </c>
      <c r="N115">
        <v>1011</v>
      </c>
      <c r="O115" t="s">
        <v>211</v>
      </c>
      <c r="P115" t="s">
        <v>211</v>
      </c>
      <c r="Q115">
        <v>1</v>
      </c>
      <c r="X115">
        <v>0.3</v>
      </c>
      <c r="Y115">
        <v>0</v>
      </c>
      <c r="Z115">
        <v>124.6</v>
      </c>
      <c r="AA115">
        <v>28.4</v>
      </c>
      <c r="AB115">
        <v>0</v>
      </c>
      <c r="AC115">
        <v>0</v>
      </c>
      <c r="AD115">
        <v>1</v>
      </c>
      <c r="AE115">
        <v>0</v>
      </c>
      <c r="AG115">
        <v>0.3</v>
      </c>
      <c r="AH115">
        <v>2</v>
      </c>
      <c r="AI115">
        <v>34389145</v>
      </c>
      <c r="AJ115">
        <v>113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ht="12.75">
      <c r="A116">
        <f>ROW(Source!A205)</f>
        <v>205</v>
      </c>
      <c r="B116">
        <v>34389156</v>
      </c>
      <c r="C116">
        <v>34389138</v>
      </c>
      <c r="D116">
        <v>7230966</v>
      </c>
      <c r="E116">
        <v>1</v>
      </c>
      <c r="F116">
        <v>1</v>
      </c>
      <c r="G116">
        <v>7157832</v>
      </c>
      <c r="H116">
        <v>2</v>
      </c>
      <c r="I116" t="s">
        <v>457</v>
      </c>
      <c r="J116" t="s">
        <v>458</v>
      </c>
      <c r="K116" t="s">
        <v>459</v>
      </c>
      <c r="L116">
        <v>1368</v>
      </c>
      <c r="N116">
        <v>1011</v>
      </c>
      <c r="O116" t="s">
        <v>211</v>
      </c>
      <c r="P116" t="s">
        <v>211</v>
      </c>
      <c r="Q116">
        <v>1</v>
      </c>
      <c r="X116">
        <v>0.3</v>
      </c>
      <c r="Y116">
        <v>0</v>
      </c>
      <c r="Z116">
        <v>88.4</v>
      </c>
      <c r="AA116">
        <v>23.18</v>
      </c>
      <c r="AB116">
        <v>0</v>
      </c>
      <c r="AC116">
        <v>0</v>
      </c>
      <c r="AD116">
        <v>1</v>
      </c>
      <c r="AE116">
        <v>0</v>
      </c>
      <c r="AG116">
        <v>0.3</v>
      </c>
      <c r="AH116">
        <v>2</v>
      </c>
      <c r="AI116">
        <v>34389146</v>
      </c>
      <c r="AJ116">
        <v>114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ht="12.75">
      <c r="A117">
        <f>ROW(Source!A205)</f>
        <v>205</v>
      </c>
      <c r="B117">
        <v>34389157</v>
      </c>
      <c r="C117">
        <v>34389138</v>
      </c>
      <c r="D117">
        <v>7230967</v>
      </c>
      <c r="E117">
        <v>1</v>
      </c>
      <c r="F117">
        <v>1</v>
      </c>
      <c r="G117">
        <v>7157832</v>
      </c>
      <c r="H117">
        <v>2</v>
      </c>
      <c r="I117" t="s">
        <v>427</v>
      </c>
      <c r="J117" t="s">
        <v>428</v>
      </c>
      <c r="K117" t="s">
        <v>429</v>
      </c>
      <c r="L117">
        <v>1368</v>
      </c>
      <c r="N117">
        <v>1011</v>
      </c>
      <c r="O117" t="s">
        <v>211</v>
      </c>
      <c r="P117" t="s">
        <v>211</v>
      </c>
      <c r="Q117">
        <v>1</v>
      </c>
      <c r="X117">
        <v>0.9</v>
      </c>
      <c r="Y117">
        <v>0</v>
      </c>
      <c r="Z117">
        <v>178.02</v>
      </c>
      <c r="AA117">
        <v>23.5</v>
      </c>
      <c r="AB117">
        <v>0</v>
      </c>
      <c r="AC117">
        <v>0</v>
      </c>
      <c r="AD117">
        <v>1</v>
      </c>
      <c r="AE117">
        <v>0</v>
      </c>
      <c r="AG117">
        <v>0.9</v>
      </c>
      <c r="AH117">
        <v>2</v>
      </c>
      <c r="AI117">
        <v>34389147</v>
      </c>
      <c r="AJ117">
        <v>115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 ht="12.75">
      <c r="A118">
        <f>ROW(Source!A205)</f>
        <v>205</v>
      </c>
      <c r="B118">
        <v>34389158</v>
      </c>
      <c r="C118">
        <v>34389138</v>
      </c>
      <c r="D118">
        <v>7235091</v>
      </c>
      <c r="E118">
        <v>1</v>
      </c>
      <c r="F118">
        <v>1</v>
      </c>
      <c r="G118">
        <v>7157832</v>
      </c>
      <c r="H118">
        <v>3</v>
      </c>
      <c r="I118" t="s">
        <v>460</v>
      </c>
      <c r="J118" t="s">
        <v>461</v>
      </c>
      <c r="K118" t="s">
        <v>462</v>
      </c>
      <c r="L118">
        <v>1348</v>
      </c>
      <c r="N118">
        <v>1009</v>
      </c>
      <c r="O118" t="s">
        <v>265</v>
      </c>
      <c r="P118" t="s">
        <v>265</v>
      </c>
      <c r="Q118">
        <v>1000</v>
      </c>
      <c r="X118">
        <v>0.04</v>
      </c>
      <c r="Y118">
        <v>1445.87</v>
      </c>
      <c r="Z118">
        <v>0</v>
      </c>
      <c r="AA118">
        <v>0</v>
      </c>
      <c r="AB118">
        <v>0</v>
      </c>
      <c r="AC118">
        <v>0</v>
      </c>
      <c r="AD118">
        <v>1</v>
      </c>
      <c r="AE118">
        <v>0</v>
      </c>
      <c r="AG118">
        <v>0.04</v>
      </c>
      <c r="AH118">
        <v>2</v>
      </c>
      <c r="AI118">
        <v>34389148</v>
      </c>
      <c r="AJ118">
        <v>116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ht="12.75">
      <c r="A119">
        <f>ROW(Source!A205)</f>
        <v>205</v>
      </c>
      <c r="B119">
        <v>34389159</v>
      </c>
      <c r="C119">
        <v>34389138</v>
      </c>
      <c r="D119">
        <v>7178138</v>
      </c>
      <c r="E119">
        <v>7157832</v>
      </c>
      <c r="F119">
        <v>1</v>
      </c>
      <c r="G119">
        <v>7157832</v>
      </c>
      <c r="H119">
        <v>3</v>
      </c>
      <c r="I119" t="s">
        <v>510</v>
      </c>
      <c r="K119" t="s">
        <v>511</v>
      </c>
      <c r="L119">
        <v>1348</v>
      </c>
      <c r="N119">
        <v>1009</v>
      </c>
      <c r="O119" t="s">
        <v>265</v>
      </c>
      <c r="P119" t="s">
        <v>265</v>
      </c>
      <c r="Q119">
        <v>1000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G119">
        <v>0</v>
      </c>
      <c r="AH119">
        <v>3</v>
      </c>
      <c r="AI119">
        <v>-1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</row>
    <row r="120" spans="1:44" ht="12.75">
      <c r="A120">
        <f>ROW(Source!A238)</f>
        <v>238</v>
      </c>
      <c r="B120">
        <v>34389736</v>
      </c>
      <c r="C120">
        <v>34389734</v>
      </c>
      <c r="D120">
        <v>7157835</v>
      </c>
      <c r="E120">
        <v>7157832</v>
      </c>
      <c r="F120">
        <v>1</v>
      </c>
      <c r="G120">
        <v>7157832</v>
      </c>
      <c r="H120">
        <v>1</v>
      </c>
      <c r="I120" t="s">
        <v>399</v>
      </c>
      <c r="K120" t="s">
        <v>400</v>
      </c>
      <c r="L120">
        <v>1191</v>
      </c>
      <c r="N120">
        <v>1013</v>
      </c>
      <c r="O120" t="s">
        <v>401</v>
      </c>
      <c r="P120" t="s">
        <v>401</v>
      </c>
      <c r="Q120">
        <v>1</v>
      </c>
      <c r="X120">
        <v>192.7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1</v>
      </c>
      <c r="AE120">
        <v>1</v>
      </c>
      <c r="AF120" t="s">
        <v>27</v>
      </c>
      <c r="AG120">
        <v>221.60499999999996</v>
      </c>
      <c r="AH120">
        <v>2</v>
      </c>
      <c r="AI120">
        <v>34389735</v>
      </c>
      <c r="AJ120">
        <v>117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</row>
    <row r="121" spans="1:44" ht="12.75">
      <c r="A121">
        <f>ROW(Source!A239)</f>
        <v>239</v>
      </c>
      <c r="B121">
        <v>34389740</v>
      </c>
      <c r="C121">
        <v>34389737</v>
      </c>
      <c r="D121">
        <v>7157835</v>
      </c>
      <c r="E121">
        <v>7157832</v>
      </c>
      <c r="F121">
        <v>1</v>
      </c>
      <c r="G121">
        <v>7157832</v>
      </c>
      <c r="H121">
        <v>1</v>
      </c>
      <c r="I121" t="s">
        <v>399</v>
      </c>
      <c r="K121" t="s">
        <v>400</v>
      </c>
      <c r="L121">
        <v>1191</v>
      </c>
      <c r="N121">
        <v>1013</v>
      </c>
      <c r="O121" t="s">
        <v>401</v>
      </c>
      <c r="P121" t="s">
        <v>401</v>
      </c>
      <c r="Q121">
        <v>1</v>
      </c>
      <c r="X121">
        <v>0.27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1</v>
      </c>
      <c r="AE121">
        <v>1</v>
      </c>
      <c r="AF121" t="s">
        <v>27</v>
      </c>
      <c r="AG121">
        <v>0.3105</v>
      </c>
      <c r="AH121">
        <v>2</v>
      </c>
      <c r="AI121">
        <v>34389738</v>
      </c>
      <c r="AJ121">
        <v>118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</row>
    <row r="122" spans="1:44" ht="12.75">
      <c r="A122">
        <f>ROW(Source!A239)</f>
        <v>239</v>
      </c>
      <c r="B122">
        <v>34389741</v>
      </c>
      <c r="C122">
        <v>34389737</v>
      </c>
      <c r="D122">
        <v>7231390</v>
      </c>
      <c r="E122">
        <v>1</v>
      </c>
      <c r="F122">
        <v>1</v>
      </c>
      <c r="G122">
        <v>7157832</v>
      </c>
      <c r="H122">
        <v>2</v>
      </c>
      <c r="I122" t="s">
        <v>474</v>
      </c>
      <c r="J122" t="s">
        <v>475</v>
      </c>
      <c r="K122" t="s">
        <v>476</v>
      </c>
      <c r="L122">
        <v>1368</v>
      </c>
      <c r="N122">
        <v>1011</v>
      </c>
      <c r="O122" t="s">
        <v>211</v>
      </c>
      <c r="P122" t="s">
        <v>211</v>
      </c>
      <c r="Q122">
        <v>1</v>
      </c>
      <c r="X122">
        <v>0.28</v>
      </c>
      <c r="Y122">
        <v>0</v>
      </c>
      <c r="Z122">
        <v>942.04</v>
      </c>
      <c r="AA122">
        <v>58.19</v>
      </c>
      <c r="AB122">
        <v>0</v>
      </c>
      <c r="AC122">
        <v>0</v>
      </c>
      <c r="AD122">
        <v>1</v>
      </c>
      <c r="AE122">
        <v>0</v>
      </c>
      <c r="AF122" t="s">
        <v>27</v>
      </c>
      <c r="AG122">
        <v>0.322</v>
      </c>
      <c r="AH122">
        <v>2</v>
      </c>
      <c r="AI122">
        <v>34389739</v>
      </c>
      <c r="AJ122">
        <v>119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</row>
    <row r="123" spans="1:44" ht="12.75">
      <c r="A123">
        <f>ROW(Source!A240)</f>
        <v>240</v>
      </c>
      <c r="B123">
        <v>34389754</v>
      </c>
      <c r="C123">
        <v>34389742</v>
      </c>
      <c r="D123">
        <v>7157835</v>
      </c>
      <c r="E123">
        <v>7157832</v>
      </c>
      <c r="F123">
        <v>1</v>
      </c>
      <c r="G123">
        <v>7157832</v>
      </c>
      <c r="H123">
        <v>1</v>
      </c>
      <c r="I123" t="s">
        <v>399</v>
      </c>
      <c r="K123" t="s">
        <v>400</v>
      </c>
      <c r="L123">
        <v>1191</v>
      </c>
      <c r="N123">
        <v>1013</v>
      </c>
      <c r="O123" t="s">
        <v>401</v>
      </c>
      <c r="P123" t="s">
        <v>401</v>
      </c>
      <c r="Q123">
        <v>1</v>
      </c>
      <c r="X123">
        <v>1.32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1</v>
      </c>
      <c r="AE123">
        <v>1</v>
      </c>
      <c r="AF123" t="s">
        <v>27</v>
      </c>
      <c r="AG123">
        <v>1.518</v>
      </c>
      <c r="AH123">
        <v>2</v>
      </c>
      <c r="AI123">
        <v>34389743</v>
      </c>
      <c r="AJ123">
        <v>120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</row>
    <row r="124" spans="1:44" ht="12.75">
      <c r="A124">
        <f>ROW(Source!A240)</f>
        <v>240</v>
      </c>
      <c r="B124">
        <v>34389755</v>
      </c>
      <c r="C124">
        <v>34389742</v>
      </c>
      <c r="D124">
        <v>9198927</v>
      </c>
      <c r="E124">
        <v>1</v>
      </c>
      <c r="F124">
        <v>1</v>
      </c>
      <c r="G124">
        <v>7157832</v>
      </c>
      <c r="H124">
        <v>2</v>
      </c>
      <c r="I124" t="s">
        <v>477</v>
      </c>
      <c r="J124" t="s">
        <v>478</v>
      </c>
      <c r="K124" t="s">
        <v>479</v>
      </c>
      <c r="L124">
        <v>1368</v>
      </c>
      <c r="N124">
        <v>1011</v>
      </c>
      <c r="O124" t="s">
        <v>211</v>
      </c>
      <c r="P124" t="s">
        <v>211</v>
      </c>
      <c r="Q124">
        <v>1</v>
      </c>
      <c r="X124">
        <v>0.05</v>
      </c>
      <c r="Y124">
        <v>0</v>
      </c>
      <c r="Z124">
        <v>50.27</v>
      </c>
      <c r="AA124">
        <v>15</v>
      </c>
      <c r="AB124">
        <v>0</v>
      </c>
      <c r="AC124">
        <v>0</v>
      </c>
      <c r="AD124">
        <v>1</v>
      </c>
      <c r="AE124">
        <v>0</v>
      </c>
      <c r="AF124" t="s">
        <v>27</v>
      </c>
      <c r="AG124">
        <v>0.057499999999999996</v>
      </c>
      <c r="AH124">
        <v>2</v>
      </c>
      <c r="AI124">
        <v>34389744</v>
      </c>
      <c r="AJ124">
        <v>121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</row>
    <row r="125" spans="1:44" ht="12.75">
      <c r="A125">
        <f>ROW(Source!A240)</f>
        <v>240</v>
      </c>
      <c r="B125">
        <v>34389756</v>
      </c>
      <c r="C125">
        <v>34389742</v>
      </c>
      <c r="D125">
        <v>7231349</v>
      </c>
      <c r="E125">
        <v>1</v>
      </c>
      <c r="F125">
        <v>1</v>
      </c>
      <c r="G125">
        <v>7157832</v>
      </c>
      <c r="H125">
        <v>2</v>
      </c>
      <c r="I125" t="s">
        <v>480</v>
      </c>
      <c r="J125" t="s">
        <v>481</v>
      </c>
      <c r="K125" t="s">
        <v>482</v>
      </c>
      <c r="L125">
        <v>1368</v>
      </c>
      <c r="N125">
        <v>1011</v>
      </c>
      <c r="O125" t="s">
        <v>211</v>
      </c>
      <c r="P125" t="s">
        <v>211</v>
      </c>
      <c r="Q125">
        <v>1</v>
      </c>
      <c r="X125">
        <v>0.04</v>
      </c>
      <c r="Y125">
        <v>0</v>
      </c>
      <c r="Z125">
        <v>199.18</v>
      </c>
      <c r="AA125">
        <v>22.36</v>
      </c>
      <c r="AB125">
        <v>0</v>
      </c>
      <c r="AC125">
        <v>0</v>
      </c>
      <c r="AD125">
        <v>1</v>
      </c>
      <c r="AE125">
        <v>0</v>
      </c>
      <c r="AF125" t="s">
        <v>27</v>
      </c>
      <c r="AG125">
        <v>0.046</v>
      </c>
      <c r="AH125">
        <v>2</v>
      </c>
      <c r="AI125">
        <v>34389745</v>
      </c>
      <c r="AJ125">
        <v>122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</row>
    <row r="126" spans="1:44" ht="12.75">
      <c r="A126">
        <f>ROW(Source!A240)</f>
        <v>240</v>
      </c>
      <c r="B126">
        <v>34389757</v>
      </c>
      <c r="C126">
        <v>34389742</v>
      </c>
      <c r="D126">
        <v>7231390</v>
      </c>
      <c r="E126">
        <v>1</v>
      </c>
      <c r="F126">
        <v>1</v>
      </c>
      <c r="G126">
        <v>7157832</v>
      </c>
      <c r="H126">
        <v>2</v>
      </c>
      <c r="I126" t="s">
        <v>474</v>
      </c>
      <c r="J126" t="s">
        <v>475</v>
      </c>
      <c r="K126" t="s">
        <v>476</v>
      </c>
      <c r="L126">
        <v>1368</v>
      </c>
      <c r="N126">
        <v>1011</v>
      </c>
      <c r="O126" t="s">
        <v>211</v>
      </c>
      <c r="P126" t="s">
        <v>211</v>
      </c>
      <c r="Q126">
        <v>1</v>
      </c>
      <c r="X126">
        <v>0.59</v>
      </c>
      <c r="Y126">
        <v>0</v>
      </c>
      <c r="Z126">
        <v>942.04</v>
      </c>
      <c r="AA126">
        <v>58.19</v>
      </c>
      <c r="AB126">
        <v>0</v>
      </c>
      <c r="AC126">
        <v>0</v>
      </c>
      <c r="AD126">
        <v>1</v>
      </c>
      <c r="AE126">
        <v>0</v>
      </c>
      <c r="AF126" t="s">
        <v>27</v>
      </c>
      <c r="AG126">
        <v>0.6784999999999999</v>
      </c>
      <c r="AH126">
        <v>2</v>
      </c>
      <c r="AI126">
        <v>34389746</v>
      </c>
      <c r="AJ126">
        <v>123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</row>
    <row r="127" spans="1:44" ht="12.75">
      <c r="A127">
        <f>ROW(Source!A240)</f>
        <v>240</v>
      </c>
      <c r="B127">
        <v>34389758</v>
      </c>
      <c r="C127">
        <v>34389742</v>
      </c>
      <c r="D127">
        <v>7231434</v>
      </c>
      <c r="E127">
        <v>1</v>
      </c>
      <c r="F127">
        <v>1</v>
      </c>
      <c r="G127">
        <v>7157832</v>
      </c>
      <c r="H127">
        <v>2</v>
      </c>
      <c r="I127" t="s">
        <v>483</v>
      </c>
      <c r="J127" t="s">
        <v>484</v>
      </c>
      <c r="K127" t="s">
        <v>485</v>
      </c>
      <c r="L127">
        <v>1368</v>
      </c>
      <c r="N127">
        <v>1011</v>
      </c>
      <c r="O127" t="s">
        <v>211</v>
      </c>
      <c r="P127" t="s">
        <v>211</v>
      </c>
      <c r="Q127">
        <v>1</v>
      </c>
      <c r="X127">
        <v>0.004</v>
      </c>
      <c r="Y127">
        <v>0</v>
      </c>
      <c r="Z127">
        <v>64.89</v>
      </c>
      <c r="AA127">
        <v>7.74</v>
      </c>
      <c r="AB127">
        <v>0</v>
      </c>
      <c r="AC127">
        <v>0</v>
      </c>
      <c r="AD127">
        <v>1</v>
      </c>
      <c r="AE127">
        <v>0</v>
      </c>
      <c r="AF127" t="s">
        <v>27</v>
      </c>
      <c r="AG127">
        <v>0.0046</v>
      </c>
      <c r="AH127">
        <v>2</v>
      </c>
      <c r="AI127">
        <v>34389747</v>
      </c>
      <c r="AJ127">
        <v>124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</row>
    <row r="128" spans="1:44" ht="12.75">
      <c r="A128">
        <f>ROW(Source!A240)</f>
        <v>240</v>
      </c>
      <c r="B128">
        <v>34389759</v>
      </c>
      <c r="C128">
        <v>34389742</v>
      </c>
      <c r="D128">
        <v>7230838</v>
      </c>
      <c r="E128">
        <v>1</v>
      </c>
      <c r="F128">
        <v>1</v>
      </c>
      <c r="G128">
        <v>7157832</v>
      </c>
      <c r="H128">
        <v>2</v>
      </c>
      <c r="I128" t="s">
        <v>486</v>
      </c>
      <c r="J128" t="s">
        <v>487</v>
      </c>
      <c r="K128" t="s">
        <v>488</v>
      </c>
      <c r="L128">
        <v>1368</v>
      </c>
      <c r="N128">
        <v>1011</v>
      </c>
      <c r="O128" t="s">
        <v>211</v>
      </c>
      <c r="P128" t="s">
        <v>211</v>
      </c>
      <c r="Q128">
        <v>1</v>
      </c>
      <c r="X128">
        <v>0.29</v>
      </c>
      <c r="Y128">
        <v>0</v>
      </c>
      <c r="Z128">
        <v>147.07</v>
      </c>
      <c r="AA128">
        <v>28.85</v>
      </c>
      <c r="AB128">
        <v>0</v>
      </c>
      <c r="AC128">
        <v>0</v>
      </c>
      <c r="AD128">
        <v>1</v>
      </c>
      <c r="AE128">
        <v>0</v>
      </c>
      <c r="AF128" t="s">
        <v>27</v>
      </c>
      <c r="AG128">
        <v>0.33349999999999996</v>
      </c>
      <c r="AH128">
        <v>2</v>
      </c>
      <c r="AI128">
        <v>34389748</v>
      </c>
      <c r="AJ128">
        <v>125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</row>
    <row r="129" spans="1:44" ht="12.75">
      <c r="A129">
        <f>ROW(Source!A240)</f>
        <v>240</v>
      </c>
      <c r="B129">
        <v>34389760</v>
      </c>
      <c r="C129">
        <v>34389742</v>
      </c>
      <c r="D129">
        <v>7230976</v>
      </c>
      <c r="E129">
        <v>1</v>
      </c>
      <c r="F129">
        <v>1</v>
      </c>
      <c r="G129">
        <v>7157832</v>
      </c>
      <c r="H129">
        <v>2</v>
      </c>
      <c r="I129" t="s">
        <v>448</v>
      </c>
      <c r="J129" t="s">
        <v>449</v>
      </c>
      <c r="K129" t="s">
        <v>450</v>
      </c>
      <c r="L129">
        <v>1368</v>
      </c>
      <c r="N129">
        <v>1011</v>
      </c>
      <c r="O129" t="s">
        <v>211</v>
      </c>
      <c r="P129" t="s">
        <v>211</v>
      </c>
      <c r="Q129">
        <v>1</v>
      </c>
      <c r="X129">
        <v>0.05</v>
      </c>
      <c r="Y129">
        <v>0</v>
      </c>
      <c r="Z129">
        <v>148.89</v>
      </c>
      <c r="AA129">
        <v>28.61</v>
      </c>
      <c r="AB129">
        <v>0</v>
      </c>
      <c r="AC129">
        <v>0</v>
      </c>
      <c r="AD129">
        <v>1</v>
      </c>
      <c r="AE129">
        <v>0</v>
      </c>
      <c r="AF129" t="s">
        <v>27</v>
      </c>
      <c r="AG129">
        <v>0.057499999999999996</v>
      </c>
      <c r="AH129">
        <v>2</v>
      </c>
      <c r="AI129">
        <v>34389749</v>
      </c>
      <c r="AJ129">
        <v>126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</row>
    <row r="130" spans="1:44" ht="12.75">
      <c r="A130">
        <f>ROW(Source!A240)</f>
        <v>240</v>
      </c>
      <c r="B130">
        <v>34389761</v>
      </c>
      <c r="C130">
        <v>34389742</v>
      </c>
      <c r="D130">
        <v>34353976</v>
      </c>
      <c r="E130">
        <v>1</v>
      </c>
      <c r="F130">
        <v>1</v>
      </c>
      <c r="G130">
        <v>7157832</v>
      </c>
      <c r="H130">
        <v>2</v>
      </c>
      <c r="I130" t="s">
        <v>489</v>
      </c>
      <c r="J130" t="s">
        <v>490</v>
      </c>
      <c r="K130" t="s">
        <v>491</v>
      </c>
      <c r="L130">
        <v>1368</v>
      </c>
      <c r="N130">
        <v>1011</v>
      </c>
      <c r="O130" t="s">
        <v>211</v>
      </c>
      <c r="P130" t="s">
        <v>211</v>
      </c>
      <c r="Q130">
        <v>1</v>
      </c>
      <c r="X130">
        <v>0.59</v>
      </c>
      <c r="Y130">
        <v>0</v>
      </c>
      <c r="Z130">
        <v>80.14</v>
      </c>
      <c r="AA130">
        <v>18.74</v>
      </c>
      <c r="AB130">
        <v>0</v>
      </c>
      <c r="AC130">
        <v>0</v>
      </c>
      <c r="AD130">
        <v>1</v>
      </c>
      <c r="AE130">
        <v>0</v>
      </c>
      <c r="AF130" t="s">
        <v>27</v>
      </c>
      <c r="AG130">
        <v>0.6784999999999999</v>
      </c>
      <c r="AH130">
        <v>2</v>
      </c>
      <c r="AI130">
        <v>34389750</v>
      </c>
      <c r="AJ130">
        <v>127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</row>
    <row r="131" spans="1:44" ht="12.75">
      <c r="A131">
        <f>ROW(Source!A240)</f>
        <v>240</v>
      </c>
      <c r="B131">
        <v>34389762</v>
      </c>
      <c r="C131">
        <v>34389742</v>
      </c>
      <c r="D131">
        <v>7232722</v>
      </c>
      <c r="E131">
        <v>1</v>
      </c>
      <c r="F131">
        <v>1</v>
      </c>
      <c r="G131">
        <v>7157832</v>
      </c>
      <c r="H131">
        <v>3</v>
      </c>
      <c r="I131" t="s">
        <v>492</v>
      </c>
      <c r="J131" t="s">
        <v>493</v>
      </c>
      <c r="K131" t="s">
        <v>494</v>
      </c>
      <c r="L131">
        <v>1348</v>
      </c>
      <c r="N131">
        <v>1009</v>
      </c>
      <c r="O131" t="s">
        <v>265</v>
      </c>
      <c r="P131" t="s">
        <v>265</v>
      </c>
      <c r="Q131">
        <v>1000</v>
      </c>
      <c r="X131">
        <v>0.00054</v>
      </c>
      <c r="Y131">
        <v>5778.3</v>
      </c>
      <c r="Z131">
        <v>0</v>
      </c>
      <c r="AA131">
        <v>0</v>
      </c>
      <c r="AB131">
        <v>0</v>
      </c>
      <c r="AC131">
        <v>0</v>
      </c>
      <c r="AD131">
        <v>1</v>
      </c>
      <c r="AE131">
        <v>0</v>
      </c>
      <c r="AG131">
        <v>0.00054</v>
      </c>
      <c r="AH131">
        <v>2</v>
      </c>
      <c r="AI131">
        <v>34389751</v>
      </c>
      <c r="AJ131">
        <v>128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</row>
    <row r="132" spans="1:44" ht="12.75">
      <c r="A132">
        <f>ROW(Source!A240)</f>
        <v>240</v>
      </c>
      <c r="B132">
        <v>34389763</v>
      </c>
      <c r="C132">
        <v>34389742</v>
      </c>
      <c r="D132">
        <v>7231827</v>
      </c>
      <c r="E132">
        <v>1</v>
      </c>
      <c r="F132">
        <v>1</v>
      </c>
      <c r="G132">
        <v>7157832</v>
      </c>
      <c r="H132">
        <v>3</v>
      </c>
      <c r="I132" t="s">
        <v>430</v>
      </c>
      <c r="J132" t="s">
        <v>431</v>
      </c>
      <c r="K132" t="s">
        <v>432</v>
      </c>
      <c r="L132">
        <v>1339</v>
      </c>
      <c r="N132">
        <v>1007</v>
      </c>
      <c r="O132" t="s">
        <v>42</v>
      </c>
      <c r="P132" t="s">
        <v>42</v>
      </c>
      <c r="Q132">
        <v>1</v>
      </c>
      <c r="X132">
        <v>0.69</v>
      </c>
      <c r="Y132">
        <v>7.07</v>
      </c>
      <c r="Z132">
        <v>0</v>
      </c>
      <c r="AA132">
        <v>0</v>
      </c>
      <c r="AB132">
        <v>0</v>
      </c>
      <c r="AC132">
        <v>0</v>
      </c>
      <c r="AD132">
        <v>1</v>
      </c>
      <c r="AE132">
        <v>0</v>
      </c>
      <c r="AG132">
        <v>0.69</v>
      </c>
      <c r="AH132">
        <v>2</v>
      </c>
      <c r="AI132">
        <v>34389752</v>
      </c>
      <c r="AJ132">
        <v>129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</row>
    <row r="133" spans="1:44" ht="12.75">
      <c r="A133">
        <f>ROW(Source!A240)</f>
        <v>240</v>
      </c>
      <c r="B133">
        <v>34389764</v>
      </c>
      <c r="C133">
        <v>34389742</v>
      </c>
      <c r="D133">
        <v>9198995</v>
      </c>
      <c r="E133">
        <v>1</v>
      </c>
      <c r="F133">
        <v>1</v>
      </c>
      <c r="G133">
        <v>7157832</v>
      </c>
      <c r="H133">
        <v>3</v>
      </c>
      <c r="I133" t="s">
        <v>495</v>
      </c>
      <c r="J133" t="s">
        <v>496</v>
      </c>
      <c r="K133" t="s">
        <v>497</v>
      </c>
      <c r="L133">
        <v>1346</v>
      </c>
      <c r="N133">
        <v>1009</v>
      </c>
      <c r="O133" t="s">
        <v>307</v>
      </c>
      <c r="P133" t="s">
        <v>307</v>
      </c>
      <c r="Q133">
        <v>1</v>
      </c>
      <c r="X133">
        <v>0.038</v>
      </c>
      <c r="Y133">
        <v>7.48</v>
      </c>
      <c r="Z133">
        <v>0</v>
      </c>
      <c r="AA133">
        <v>0</v>
      </c>
      <c r="AB133">
        <v>0</v>
      </c>
      <c r="AC133">
        <v>0</v>
      </c>
      <c r="AD133">
        <v>1</v>
      </c>
      <c r="AE133">
        <v>0</v>
      </c>
      <c r="AG133">
        <v>0.038</v>
      </c>
      <c r="AH133">
        <v>2</v>
      </c>
      <c r="AI133">
        <v>34389753</v>
      </c>
      <c r="AJ133">
        <v>130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</row>
    <row r="134" spans="1:44" ht="12.75">
      <c r="A134">
        <f>ROW(Source!A240)</f>
        <v>240</v>
      </c>
      <c r="B134">
        <v>34389765</v>
      </c>
      <c r="C134">
        <v>34389742</v>
      </c>
      <c r="D134">
        <v>34342924</v>
      </c>
      <c r="E134">
        <v>7157832</v>
      </c>
      <c r="F134">
        <v>1</v>
      </c>
      <c r="G134">
        <v>7157832</v>
      </c>
      <c r="H134">
        <v>3</v>
      </c>
      <c r="I134" t="s">
        <v>514</v>
      </c>
      <c r="K134" t="s">
        <v>515</v>
      </c>
      <c r="L134">
        <v>1346</v>
      </c>
      <c r="N134">
        <v>1009</v>
      </c>
      <c r="O134" t="s">
        <v>307</v>
      </c>
      <c r="P134" t="s">
        <v>307</v>
      </c>
      <c r="Q134">
        <v>1</v>
      </c>
      <c r="X134">
        <v>40.6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G134">
        <v>40.6</v>
      </c>
      <c r="AH134">
        <v>3</v>
      </c>
      <c r="AI134">
        <v>-1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</row>
    <row r="135" spans="1:44" ht="12.75">
      <c r="A135">
        <f>ROW(Source!A240)</f>
        <v>240</v>
      </c>
      <c r="B135">
        <v>34389766</v>
      </c>
      <c r="C135">
        <v>34389742</v>
      </c>
      <c r="D135">
        <v>33274059</v>
      </c>
      <c r="E135">
        <v>7157832</v>
      </c>
      <c r="F135">
        <v>1</v>
      </c>
      <c r="G135">
        <v>7157832</v>
      </c>
      <c r="H135">
        <v>3</v>
      </c>
      <c r="I135" t="s">
        <v>516</v>
      </c>
      <c r="K135" t="s">
        <v>517</v>
      </c>
      <c r="L135">
        <v>1301</v>
      </c>
      <c r="N135">
        <v>1003</v>
      </c>
      <c r="O135" t="s">
        <v>158</v>
      </c>
      <c r="P135" t="s">
        <v>158</v>
      </c>
      <c r="Q135">
        <v>1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G135">
        <v>0</v>
      </c>
      <c r="AH135">
        <v>3</v>
      </c>
      <c r="AI135">
        <v>-1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</row>
    <row r="136" spans="1:44" ht="12.75">
      <c r="A136">
        <f>ROW(Source!A240)</f>
        <v>240</v>
      </c>
      <c r="B136">
        <v>34389767</v>
      </c>
      <c r="C136">
        <v>34389742</v>
      </c>
      <c r="D136">
        <v>34342921</v>
      </c>
      <c r="E136">
        <v>7157832</v>
      </c>
      <c r="F136">
        <v>1</v>
      </c>
      <c r="G136">
        <v>7157832</v>
      </c>
      <c r="H136">
        <v>3</v>
      </c>
      <c r="I136" t="s">
        <v>518</v>
      </c>
      <c r="K136" t="s">
        <v>519</v>
      </c>
      <c r="L136">
        <v>1296</v>
      </c>
      <c r="N136">
        <v>1002</v>
      </c>
      <c r="O136" t="s">
        <v>520</v>
      </c>
      <c r="P136" t="s">
        <v>520</v>
      </c>
      <c r="Q136">
        <v>1</v>
      </c>
      <c r="X136">
        <v>2.1424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G136">
        <v>2.1424</v>
      </c>
      <c r="AH136">
        <v>3</v>
      </c>
      <c r="AI136">
        <v>-1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</row>
    <row r="137" spans="1:44" ht="12.75">
      <c r="A137">
        <f>ROW(Source!A244)</f>
        <v>244</v>
      </c>
      <c r="B137">
        <v>34389774</v>
      </c>
      <c r="C137">
        <v>34389771</v>
      </c>
      <c r="D137">
        <v>7157835</v>
      </c>
      <c r="E137">
        <v>7157832</v>
      </c>
      <c r="F137">
        <v>1</v>
      </c>
      <c r="G137">
        <v>7157832</v>
      </c>
      <c r="H137">
        <v>1</v>
      </c>
      <c r="I137" t="s">
        <v>399</v>
      </c>
      <c r="K137" t="s">
        <v>400</v>
      </c>
      <c r="L137">
        <v>1191</v>
      </c>
      <c r="N137">
        <v>1013</v>
      </c>
      <c r="O137" t="s">
        <v>401</v>
      </c>
      <c r="P137" t="s">
        <v>401</v>
      </c>
      <c r="Q137">
        <v>1</v>
      </c>
      <c r="X137">
        <v>0.26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1</v>
      </c>
      <c r="AE137">
        <v>1</v>
      </c>
      <c r="AF137" t="s">
        <v>27</v>
      </c>
      <c r="AG137">
        <v>0.299</v>
      </c>
      <c r="AH137">
        <v>2</v>
      </c>
      <c r="AI137">
        <v>34389772</v>
      </c>
      <c r="AJ137">
        <v>131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</row>
    <row r="138" spans="1:44" ht="12.75">
      <c r="A138">
        <f>ROW(Source!A244)</f>
        <v>244</v>
      </c>
      <c r="B138">
        <v>34389775</v>
      </c>
      <c r="C138">
        <v>34389771</v>
      </c>
      <c r="D138">
        <v>7231390</v>
      </c>
      <c r="E138">
        <v>1</v>
      </c>
      <c r="F138">
        <v>1</v>
      </c>
      <c r="G138">
        <v>7157832</v>
      </c>
      <c r="H138">
        <v>2</v>
      </c>
      <c r="I138" t="s">
        <v>474</v>
      </c>
      <c r="J138" t="s">
        <v>475</v>
      </c>
      <c r="K138" t="s">
        <v>476</v>
      </c>
      <c r="L138">
        <v>1368</v>
      </c>
      <c r="N138">
        <v>1011</v>
      </c>
      <c r="O138" t="s">
        <v>211</v>
      </c>
      <c r="P138" t="s">
        <v>211</v>
      </c>
      <c r="Q138">
        <v>1</v>
      </c>
      <c r="X138">
        <v>0.26</v>
      </c>
      <c r="Y138">
        <v>0</v>
      </c>
      <c r="Z138">
        <v>942.04</v>
      </c>
      <c r="AA138">
        <v>58.19</v>
      </c>
      <c r="AB138">
        <v>0</v>
      </c>
      <c r="AC138">
        <v>0</v>
      </c>
      <c r="AD138">
        <v>1</v>
      </c>
      <c r="AE138">
        <v>0</v>
      </c>
      <c r="AF138" t="s">
        <v>27</v>
      </c>
      <c r="AG138">
        <v>0.299</v>
      </c>
      <c r="AH138">
        <v>2</v>
      </c>
      <c r="AI138">
        <v>34389773</v>
      </c>
      <c r="AJ138">
        <v>132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</row>
    <row r="139" spans="1:44" ht="12.75">
      <c r="A139">
        <f>ROW(Source!A249)</f>
        <v>249</v>
      </c>
      <c r="B139">
        <v>34389782</v>
      </c>
      <c r="C139">
        <v>34389780</v>
      </c>
      <c r="D139">
        <v>7231226</v>
      </c>
      <c r="E139">
        <v>1</v>
      </c>
      <c r="F139">
        <v>1</v>
      </c>
      <c r="G139">
        <v>7157832</v>
      </c>
      <c r="H139">
        <v>2</v>
      </c>
      <c r="I139" t="s">
        <v>498</v>
      </c>
      <c r="J139" t="s">
        <v>499</v>
      </c>
      <c r="K139" t="s">
        <v>500</v>
      </c>
      <c r="L139">
        <v>1368</v>
      </c>
      <c r="N139">
        <v>1011</v>
      </c>
      <c r="O139" t="s">
        <v>211</v>
      </c>
      <c r="P139" t="s">
        <v>211</v>
      </c>
      <c r="Q139">
        <v>1</v>
      </c>
      <c r="X139">
        <v>1.82</v>
      </c>
      <c r="Y139">
        <v>0</v>
      </c>
      <c r="Z139">
        <v>14.12</v>
      </c>
      <c r="AA139">
        <v>0.32</v>
      </c>
      <c r="AB139">
        <v>0</v>
      </c>
      <c r="AC139">
        <v>0</v>
      </c>
      <c r="AD139">
        <v>1</v>
      </c>
      <c r="AE139">
        <v>0</v>
      </c>
      <c r="AF139" t="s">
        <v>27</v>
      </c>
      <c r="AG139">
        <v>2.093</v>
      </c>
      <c r="AH139">
        <v>2</v>
      </c>
      <c r="AI139">
        <v>34389781</v>
      </c>
      <c r="AJ139">
        <v>133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</row>
    <row r="140" spans="1:44" ht="12.75">
      <c r="A140">
        <f>ROW(Source!A250)</f>
        <v>250</v>
      </c>
      <c r="B140">
        <v>34389785</v>
      </c>
      <c r="C140">
        <v>34389783</v>
      </c>
      <c r="D140">
        <v>7157835</v>
      </c>
      <c r="E140">
        <v>7157832</v>
      </c>
      <c r="F140">
        <v>1</v>
      </c>
      <c r="G140">
        <v>7157832</v>
      </c>
      <c r="H140">
        <v>1</v>
      </c>
      <c r="I140" t="s">
        <v>399</v>
      </c>
      <c r="K140" t="s">
        <v>400</v>
      </c>
      <c r="L140">
        <v>1191</v>
      </c>
      <c r="N140">
        <v>1013</v>
      </c>
      <c r="O140" t="s">
        <v>401</v>
      </c>
      <c r="P140" t="s">
        <v>401</v>
      </c>
      <c r="Q140">
        <v>1</v>
      </c>
      <c r="X140">
        <v>107.04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1</v>
      </c>
      <c r="AE140">
        <v>1</v>
      </c>
      <c r="AF140" t="s">
        <v>27</v>
      </c>
      <c r="AG140">
        <v>123.096</v>
      </c>
      <c r="AH140">
        <v>2</v>
      </c>
      <c r="AI140">
        <v>34389784</v>
      </c>
      <c r="AJ140">
        <v>134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</row>
    <row r="141" spans="1:44" ht="12.75">
      <c r="A141">
        <f>ROW(Source!A288)</f>
        <v>288</v>
      </c>
      <c r="B141">
        <v>34389203</v>
      </c>
      <c r="C141">
        <v>34389200</v>
      </c>
      <c r="D141">
        <v>7157835</v>
      </c>
      <c r="E141">
        <v>7157832</v>
      </c>
      <c r="F141">
        <v>1</v>
      </c>
      <c r="G141">
        <v>7157832</v>
      </c>
      <c r="H141">
        <v>1</v>
      </c>
      <c r="I141" t="s">
        <v>399</v>
      </c>
      <c r="K141" t="s">
        <v>400</v>
      </c>
      <c r="L141">
        <v>1191</v>
      </c>
      <c r="N141">
        <v>1013</v>
      </c>
      <c r="O141" t="s">
        <v>401</v>
      </c>
      <c r="P141" t="s">
        <v>401</v>
      </c>
      <c r="Q141">
        <v>1</v>
      </c>
      <c r="X141">
        <v>3.04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1</v>
      </c>
      <c r="AE141">
        <v>1</v>
      </c>
      <c r="AF141" t="s">
        <v>27</v>
      </c>
      <c r="AG141">
        <v>3.4959999999999996</v>
      </c>
      <c r="AH141">
        <v>2</v>
      </c>
      <c r="AI141">
        <v>34389201</v>
      </c>
      <c r="AJ141">
        <v>137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</row>
    <row r="142" spans="1:44" ht="12.75">
      <c r="A142">
        <f>ROW(Source!A288)</f>
        <v>288</v>
      </c>
      <c r="B142">
        <v>34389204</v>
      </c>
      <c r="C142">
        <v>34389200</v>
      </c>
      <c r="D142">
        <v>7163661</v>
      </c>
      <c r="E142">
        <v>7157832</v>
      </c>
      <c r="F142">
        <v>1</v>
      </c>
      <c r="G142">
        <v>7157832</v>
      </c>
      <c r="H142">
        <v>3</v>
      </c>
      <c r="I142" t="s">
        <v>505</v>
      </c>
      <c r="K142" t="s">
        <v>506</v>
      </c>
      <c r="L142">
        <v>1346</v>
      </c>
      <c r="N142">
        <v>1009</v>
      </c>
      <c r="O142" t="s">
        <v>307</v>
      </c>
      <c r="P142" t="s">
        <v>307</v>
      </c>
      <c r="Q142">
        <v>1</v>
      </c>
      <c r="X142">
        <v>1.957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G142">
        <v>1.957</v>
      </c>
      <c r="AH142">
        <v>3</v>
      </c>
      <c r="AI142">
        <v>-1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Никифоров Алексей</cp:lastModifiedBy>
  <dcterms:modified xsi:type="dcterms:W3CDTF">2018-06-19T15:13:00Z</dcterms:modified>
  <cp:category/>
  <cp:version/>
  <cp:contentType/>
  <cp:contentStatus/>
</cp:coreProperties>
</file>